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725" yWindow="-15" windowWidth="10770" windowHeight="11610" tabRatio="1000" firstSheet="3" activeTab="5"/>
  </bookViews>
  <sheets>
    <sheet name="Read Me" sheetId="4" r:id="rId1"/>
    <sheet name="Calculation" sheetId="3" r:id="rId2"/>
    <sheet name="Model" sheetId="2" r:id="rId3"/>
    <sheet name="Inputs" sheetId="1" r:id="rId4"/>
    <sheet name="Chart1" sheetId="5" r:id="rId5"/>
    <sheet name="Chart2" sheetId="6" r:id="rId6"/>
  </sheets>
  <definedNames>
    <definedName name="AOName">Model!$D$3:$D$81</definedName>
    <definedName name="DME_Dirty_LA_metrics_output.xls" hidden="1">"False"</definedName>
    <definedName name="_xlnm.Print_Area" localSheetId="1">Calculation!$A$1:$L$49</definedName>
    <definedName name="_xlnm.Print_Area" localSheetId="0">'Read Me'!$A$1:$K$53</definedName>
  </definedNames>
  <calcPr calcId="145621"/>
</workbook>
</file>

<file path=xl/calcChain.xml><?xml version="1.0" encoding="utf-8"?>
<calcChain xmlns="http://schemas.openxmlformats.org/spreadsheetml/2006/main">
  <c r="BW5" i="1" l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W68" i="1"/>
  <c r="BW69" i="1"/>
  <c r="BW70" i="1"/>
  <c r="BW71" i="1"/>
  <c r="BW72" i="1"/>
  <c r="BW73" i="1"/>
  <c r="BW74" i="1"/>
  <c r="BW75" i="1"/>
  <c r="BW76" i="1"/>
  <c r="BW77" i="1"/>
  <c r="BW78" i="1"/>
  <c r="BW79" i="1"/>
  <c r="BW80" i="1"/>
  <c r="BW81" i="1"/>
  <c r="BW4" i="1"/>
  <c r="B7" i="3" l="1"/>
  <c r="A7" i="3"/>
  <c r="B6" i="3"/>
  <c r="A6" i="3"/>
  <c r="B5" i="3"/>
  <c r="A5" i="3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U41" i="1"/>
  <c r="BU42" i="1"/>
  <c r="BU43" i="1"/>
  <c r="BU44" i="1"/>
  <c r="BU45" i="1"/>
  <c r="BU46" i="1"/>
  <c r="BU47" i="1"/>
  <c r="BU48" i="1"/>
  <c r="BU49" i="1"/>
  <c r="BU50" i="1"/>
  <c r="BU51" i="1"/>
  <c r="BU52" i="1"/>
  <c r="BU53" i="1"/>
  <c r="BU54" i="1"/>
  <c r="BU55" i="1"/>
  <c r="BU56" i="1"/>
  <c r="BU57" i="1"/>
  <c r="BU58" i="1"/>
  <c r="BU59" i="1"/>
  <c r="BU60" i="1"/>
  <c r="BU61" i="1"/>
  <c r="BU62" i="1"/>
  <c r="BU63" i="1"/>
  <c r="BU64" i="1"/>
  <c r="BU65" i="1"/>
  <c r="BU66" i="1"/>
  <c r="BU67" i="1"/>
  <c r="BU68" i="1"/>
  <c r="BU69" i="1"/>
  <c r="BU70" i="1"/>
  <c r="BU71" i="1"/>
  <c r="BU72" i="1"/>
  <c r="BU73" i="1"/>
  <c r="BU74" i="1"/>
  <c r="BU75" i="1"/>
  <c r="BU76" i="1"/>
  <c r="BU77" i="1"/>
  <c r="BU78" i="1"/>
  <c r="BU79" i="1"/>
  <c r="BU80" i="1"/>
  <c r="BU81" i="1"/>
  <c r="BU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BO63" i="1"/>
  <c r="BO64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4" i="1"/>
  <c r="AW76" i="1" l="1"/>
  <c r="BC5" i="1"/>
  <c r="BC6" i="1"/>
  <c r="V6" i="1" s="1"/>
  <c r="BC7" i="1"/>
  <c r="T7" i="1" s="1"/>
  <c r="BC8" i="1"/>
  <c r="BC9" i="1"/>
  <c r="BC10" i="1"/>
  <c r="U10" i="1" s="1"/>
  <c r="BC11" i="1"/>
  <c r="T11" i="1" s="1"/>
  <c r="BC12" i="1"/>
  <c r="BC13" i="1"/>
  <c r="BC14" i="1"/>
  <c r="R14" i="1" s="1"/>
  <c r="BC15" i="1"/>
  <c r="T15" i="1" s="1"/>
  <c r="BC16" i="1"/>
  <c r="BC17" i="1"/>
  <c r="BC18" i="1"/>
  <c r="V18" i="1" s="1"/>
  <c r="BC19" i="1"/>
  <c r="W19" i="1" s="1"/>
  <c r="BC20" i="1"/>
  <c r="BC21" i="1"/>
  <c r="BC22" i="1"/>
  <c r="U22" i="1" s="1"/>
  <c r="BC23" i="1"/>
  <c r="W23" i="1" s="1"/>
  <c r="BC24" i="1"/>
  <c r="BC25" i="1"/>
  <c r="BC26" i="1"/>
  <c r="W26" i="1" s="1"/>
  <c r="BC27" i="1"/>
  <c r="BC28" i="1"/>
  <c r="BC29" i="1"/>
  <c r="BC30" i="1"/>
  <c r="U30" i="1" s="1"/>
  <c r="BC31" i="1"/>
  <c r="BC32" i="1"/>
  <c r="BC33" i="1"/>
  <c r="BC34" i="1"/>
  <c r="S34" i="1" s="1"/>
  <c r="BC35" i="1"/>
  <c r="W35" i="1" s="1"/>
  <c r="BC36" i="1"/>
  <c r="BC37" i="1"/>
  <c r="BC38" i="1"/>
  <c r="BC39" i="1"/>
  <c r="BC40" i="1"/>
  <c r="BC41" i="1"/>
  <c r="BC42" i="1"/>
  <c r="W42" i="1" s="1"/>
  <c r="BC43" i="1"/>
  <c r="S43" i="1" s="1"/>
  <c r="BC44" i="1"/>
  <c r="V44" i="1" s="1"/>
  <c r="BC45" i="1"/>
  <c r="BC46" i="1"/>
  <c r="V46" i="1" s="1"/>
  <c r="BC47" i="1"/>
  <c r="BC48" i="1"/>
  <c r="BC49" i="1"/>
  <c r="BC50" i="1"/>
  <c r="R50" i="1" s="1"/>
  <c r="BC51" i="1"/>
  <c r="W51" i="1" s="1"/>
  <c r="BC52" i="1"/>
  <c r="BC53" i="1"/>
  <c r="BC54" i="1"/>
  <c r="BC55" i="1"/>
  <c r="T55" i="1" s="1"/>
  <c r="BC56" i="1"/>
  <c r="BC57" i="1"/>
  <c r="BC58" i="1"/>
  <c r="BC59" i="1"/>
  <c r="S59" i="1" s="1"/>
  <c r="BC60" i="1"/>
  <c r="V60" i="1" s="1"/>
  <c r="BC61" i="1"/>
  <c r="BC62" i="1"/>
  <c r="BC63" i="1"/>
  <c r="BC64" i="1"/>
  <c r="BC65" i="1"/>
  <c r="BC66" i="1"/>
  <c r="R66" i="1" s="1"/>
  <c r="BC67" i="1"/>
  <c r="BC68" i="1"/>
  <c r="BC69" i="1"/>
  <c r="BC70" i="1"/>
  <c r="BC71" i="1"/>
  <c r="BC72" i="1"/>
  <c r="BC73" i="1"/>
  <c r="BC74" i="1"/>
  <c r="R74" i="1" s="1"/>
  <c r="BC75" i="1"/>
  <c r="BC76" i="1"/>
  <c r="BC77" i="1"/>
  <c r="BC78" i="1"/>
  <c r="BC79" i="1"/>
  <c r="BC80" i="1"/>
  <c r="BC81" i="1"/>
  <c r="BC4" i="1"/>
  <c r="U4" i="1" s="1"/>
  <c r="W11" i="1" l="1"/>
  <c r="W7" i="1"/>
  <c r="V30" i="1"/>
  <c r="V14" i="1"/>
  <c r="U6" i="1"/>
  <c r="T6" i="1"/>
  <c r="R10" i="1"/>
  <c r="Y77" i="1"/>
  <c r="X77" i="1"/>
  <c r="Y73" i="1"/>
  <c r="X73" i="1"/>
  <c r="Y61" i="1"/>
  <c r="X61" i="1"/>
  <c r="Y53" i="1"/>
  <c r="X53" i="1"/>
  <c r="Y45" i="1"/>
  <c r="X45" i="1"/>
  <c r="Y37" i="1"/>
  <c r="X37" i="1"/>
  <c r="U29" i="1"/>
  <c r="Y29" i="1"/>
  <c r="X29" i="1"/>
  <c r="W17" i="1"/>
  <c r="Y17" i="1"/>
  <c r="X17" i="1"/>
  <c r="W9" i="1"/>
  <c r="Y9" i="1"/>
  <c r="X9" i="1"/>
  <c r="Y76" i="1"/>
  <c r="X76" i="1"/>
  <c r="Y68" i="1"/>
  <c r="X68" i="1"/>
  <c r="X64" i="1"/>
  <c r="Y64" i="1"/>
  <c r="Y56" i="1"/>
  <c r="X56" i="1"/>
  <c r="U48" i="1"/>
  <c r="Y48" i="1"/>
  <c r="X48" i="1"/>
  <c r="S40" i="1"/>
  <c r="Y40" i="1"/>
  <c r="X40" i="1"/>
  <c r="U32" i="1"/>
  <c r="Y32" i="1"/>
  <c r="X32" i="1"/>
  <c r="U16" i="1"/>
  <c r="Y16" i="1"/>
  <c r="X16" i="1"/>
  <c r="Y12" i="1"/>
  <c r="X12" i="1"/>
  <c r="U8" i="1"/>
  <c r="Y8" i="1"/>
  <c r="X8" i="1"/>
  <c r="S48" i="1"/>
  <c r="V68" i="1"/>
  <c r="V76" i="1"/>
  <c r="Y79" i="1"/>
  <c r="X79" i="1"/>
  <c r="Y75" i="1"/>
  <c r="X75" i="1"/>
  <c r="Y71" i="1"/>
  <c r="X71" i="1"/>
  <c r="Y67" i="1"/>
  <c r="X67" i="1"/>
  <c r="Y63" i="1"/>
  <c r="X63" i="1"/>
  <c r="Y59" i="1"/>
  <c r="X59" i="1"/>
  <c r="Y55" i="1"/>
  <c r="X55" i="1"/>
  <c r="Y51" i="1"/>
  <c r="X51" i="1"/>
  <c r="Y47" i="1"/>
  <c r="X47" i="1"/>
  <c r="Y43" i="1"/>
  <c r="X43" i="1"/>
  <c r="Y39" i="1"/>
  <c r="X39" i="1"/>
  <c r="Y35" i="1"/>
  <c r="X35" i="1"/>
  <c r="Y31" i="1"/>
  <c r="X31" i="1"/>
  <c r="Y27" i="1"/>
  <c r="X27" i="1"/>
  <c r="Y23" i="1"/>
  <c r="X23" i="1"/>
  <c r="Y19" i="1"/>
  <c r="X19" i="1"/>
  <c r="Y15" i="1"/>
  <c r="X15" i="1"/>
  <c r="Y11" i="1"/>
  <c r="X11" i="1"/>
  <c r="Y7" i="1"/>
  <c r="X7" i="1"/>
  <c r="W15" i="1"/>
  <c r="S27" i="1"/>
  <c r="S32" i="1"/>
  <c r="T39" i="1"/>
  <c r="U55" i="1"/>
  <c r="T63" i="1"/>
  <c r="T71" i="1"/>
  <c r="T79" i="1"/>
  <c r="Y81" i="1"/>
  <c r="X81" i="1"/>
  <c r="Y69" i="1"/>
  <c r="X69" i="1"/>
  <c r="Y65" i="1"/>
  <c r="X65" i="1"/>
  <c r="T57" i="1"/>
  <c r="Y57" i="1"/>
  <c r="X57" i="1"/>
  <c r="S49" i="1"/>
  <c r="Y49" i="1"/>
  <c r="X49" i="1"/>
  <c r="T41" i="1"/>
  <c r="Y41" i="1"/>
  <c r="X41" i="1"/>
  <c r="Y33" i="1"/>
  <c r="X33" i="1"/>
  <c r="Y25" i="1"/>
  <c r="X25" i="1"/>
  <c r="Y21" i="1"/>
  <c r="X21" i="1"/>
  <c r="Y13" i="1"/>
  <c r="X13" i="1"/>
  <c r="Y5" i="1"/>
  <c r="X5" i="1"/>
  <c r="Y80" i="1"/>
  <c r="X80" i="1"/>
  <c r="V72" i="1"/>
  <c r="Y72" i="1"/>
  <c r="X72" i="1"/>
  <c r="W60" i="1"/>
  <c r="Y60" i="1"/>
  <c r="X60" i="1"/>
  <c r="Y52" i="1"/>
  <c r="X52" i="1"/>
  <c r="X44" i="1"/>
  <c r="Y44" i="1"/>
  <c r="Y36" i="1"/>
  <c r="X36" i="1"/>
  <c r="Y28" i="1"/>
  <c r="X28" i="1"/>
  <c r="Y24" i="1"/>
  <c r="X24" i="1"/>
  <c r="Y20" i="1"/>
  <c r="X20" i="1"/>
  <c r="R4" i="1"/>
  <c r="Y4" i="1"/>
  <c r="X4" i="1"/>
  <c r="R78" i="1"/>
  <c r="X78" i="1"/>
  <c r="Y78" i="1"/>
  <c r="S74" i="1"/>
  <c r="Y74" i="1"/>
  <c r="X74" i="1"/>
  <c r="R70" i="1"/>
  <c r="X70" i="1"/>
  <c r="Y70" i="1"/>
  <c r="S66" i="1"/>
  <c r="Y66" i="1"/>
  <c r="X66" i="1"/>
  <c r="R62" i="1"/>
  <c r="Y62" i="1"/>
  <c r="X62" i="1"/>
  <c r="R58" i="1"/>
  <c r="X58" i="1"/>
  <c r="Y58" i="1"/>
  <c r="U54" i="1"/>
  <c r="X54" i="1"/>
  <c r="Y54" i="1"/>
  <c r="W50" i="1"/>
  <c r="X50" i="1"/>
  <c r="Y50" i="1"/>
  <c r="Y46" i="1"/>
  <c r="X46" i="1"/>
  <c r="R42" i="1"/>
  <c r="Y42" i="1"/>
  <c r="X42" i="1"/>
  <c r="U38" i="1"/>
  <c r="Y38" i="1"/>
  <c r="X38" i="1"/>
  <c r="W34" i="1"/>
  <c r="Y34" i="1"/>
  <c r="X34" i="1"/>
  <c r="Y30" i="1"/>
  <c r="X30" i="1"/>
  <c r="R26" i="1"/>
  <c r="Y26" i="1"/>
  <c r="X26" i="1"/>
  <c r="Y22" i="1"/>
  <c r="X22" i="1"/>
  <c r="Y18" i="1"/>
  <c r="X18" i="1"/>
  <c r="T14" i="1"/>
  <c r="Y14" i="1"/>
  <c r="X14" i="1"/>
  <c r="T10" i="1"/>
  <c r="Y10" i="1"/>
  <c r="X10" i="1"/>
  <c r="W6" i="1"/>
  <c r="Y6" i="1"/>
  <c r="X6" i="1"/>
  <c r="R6" i="1"/>
  <c r="V10" i="1"/>
  <c r="U14" i="1"/>
  <c r="U18" i="1"/>
  <c r="V22" i="1"/>
  <c r="V28" i="1"/>
  <c r="R34" i="1"/>
  <c r="U39" i="1"/>
  <c r="U46" i="1"/>
  <c r="S50" i="1"/>
  <c r="W58" i="1"/>
  <c r="U63" i="1"/>
  <c r="U71" i="1"/>
  <c r="U79" i="1"/>
  <c r="W77" i="1"/>
  <c r="S77" i="1"/>
  <c r="V77" i="1"/>
  <c r="R77" i="1"/>
  <c r="U77" i="1"/>
  <c r="T77" i="1"/>
  <c r="W73" i="1"/>
  <c r="S73" i="1"/>
  <c r="V73" i="1"/>
  <c r="R73" i="1"/>
  <c r="U73" i="1"/>
  <c r="T73" i="1"/>
  <c r="W61" i="1"/>
  <c r="S61" i="1"/>
  <c r="V61" i="1"/>
  <c r="R61" i="1"/>
  <c r="U61" i="1"/>
  <c r="T61" i="1"/>
  <c r="V53" i="1"/>
  <c r="R53" i="1"/>
  <c r="T53" i="1"/>
  <c r="S53" i="1"/>
  <c r="V45" i="1"/>
  <c r="R45" i="1"/>
  <c r="T45" i="1"/>
  <c r="S45" i="1"/>
  <c r="V37" i="1"/>
  <c r="R37" i="1"/>
  <c r="T37" i="1"/>
  <c r="S37" i="1"/>
  <c r="V33" i="1"/>
  <c r="R33" i="1"/>
  <c r="W33" i="1"/>
  <c r="U33" i="1"/>
  <c r="V25" i="1"/>
  <c r="W25" i="1"/>
  <c r="R25" i="1"/>
  <c r="U25" i="1"/>
  <c r="V21" i="1"/>
  <c r="R21" i="1"/>
  <c r="U21" i="1"/>
  <c r="V13" i="1"/>
  <c r="R13" i="1"/>
  <c r="U13" i="1"/>
  <c r="V5" i="1"/>
  <c r="U5" i="1"/>
  <c r="T5" i="1"/>
  <c r="S13" i="1"/>
  <c r="S17" i="1"/>
  <c r="U80" i="1"/>
  <c r="T80" i="1"/>
  <c r="S80" i="1"/>
  <c r="R80" i="1"/>
  <c r="U76" i="1"/>
  <c r="T76" i="1"/>
  <c r="S76" i="1"/>
  <c r="R76" i="1"/>
  <c r="U68" i="1"/>
  <c r="T68" i="1"/>
  <c r="S68" i="1"/>
  <c r="R68" i="1"/>
  <c r="U64" i="1"/>
  <c r="T64" i="1"/>
  <c r="S64" i="1"/>
  <c r="R64" i="1"/>
  <c r="T56" i="1"/>
  <c r="W56" i="1"/>
  <c r="R56" i="1"/>
  <c r="V56" i="1"/>
  <c r="T52" i="1"/>
  <c r="U52" i="1"/>
  <c r="S52" i="1"/>
  <c r="T44" i="1"/>
  <c r="U44" i="1"/>
  <c r="S44" i="1"/>
  <c r="T36" i="1"/>
  <c r="U36" i="1"/>
  <c r="S36" i="1"/>
  <c r="T28" i="1"/>
  <c r="U28" i="1"/>
  <c r="S28" i="1"/>
  <c r="T24" i="1"/>
  <c r="W24" i="1"/>
  <c r="S24" i="1"/>
  <c r="T20" i="1"/>
  <c r="W20" i="1"/>
  <c r="S20" i="1"/>
  <c r="T12" i="1"/>
  <c r="W12" i="1"/>
  <c r="S12" i="1"/>
  <c r="V4" i="1"/>
  <c r="W5" i="1"/>
  <c r="R8" i="1"/>
  <c r="T9" i="1"/>
  <c r="R12" i="1"/>
  <c r="T13" i="1"/>
  <c r="R16" i="1"/>
  <c r="T17" i="1"/>
  <c r="R20" i="1"/>
  <c r="T21" i="1"/>
  <c r="R24" i="1"/>
  <c r="T25" i="1"/>
  <c r="W28" i="1"/>
  <c r="R36" i="1"/>
  <c r="W37" i="1"/>
  <c r="W44" i="1"/>
  <c r="R52" i="1"/>
  <c r="W53" i="1"/>
  <c r="W68" i="1"/>
  <c r="W76" i="1"/>
  <c r="W79" i="1"/>
  <c r="S79" i="1"/>
  <c r="V79" i="1"/>
  <c r="R79" i="1"/>
  <c r="W75" i="1"/>
  <c r="S75" i="1"/>
  <c r="V75" i="1"/>
  <c r="R75" i="1"/>
  <c r="W71" i="1"/>
  <c r="S71" i="1"/>
  <c r="V71" i="1"/>
  <c r="R71" i="1"/>
  <c r="W67" i="1"/>
  <c r="S67" i="1"/>
  <c r="V67" i="1"/>
  <c r="R67" i="1"/>
  <c r="W63" i="1"/>
  <c r="S63" i="1"/>
  <c r="V63" i="1"/>
  <c r="R63" i="1"/>
  <c r="V59" i="1"/>
  <c r="R59" i="1"/>
  <c r="U59" i="1"/>
  <c r="T59" i="1"/>
  <c r="V55" i="1"/>
  <c r="R55" i="1"/>
  <c r="S55" i="1"/>
  <c r="W55" i="1"/>
  <c r="V51" i="1"/>
  <c r="R51" i="1"/>
  <c r="U51" i="1"/>
  <c r="T51" i="1"/>
  <c r="V47" i="1"/>
  <c r="R47" i="1"/>
  <c r="S47" i="1"/>
  <c r="W47" i="1"/>
  <c r="V43" i="1"/>
  <c r="R43" i="1"/>
  <c r="U43" i="1"/>
  <c r="T43" i="1"/>
  <c r="V39" i="1"/>
  <c r="R39" i="1"/>
  <c r="S39" i="1"/>
  <c r="W39" i="1"/>
  <c r="V35" i="1"/>
  <c r="R35" i="1"/>
  <c r="U35" i="1"/>
  <c r="T35" i="1"/>
  <c r="V31" i="1"/>
  <c r="R31" i="1"/>
  <c r="S31" i="1"/>
  <c r="W31" i="1"/>
  <c r="V27" i="1"/>
  <c r="R27" i="1"/>
  <c r="U27" i="1"/>
  <c r="T27" i="1"/>
  <c r="V23" i="1"/>
  <c r="R23" i="1"/>
  <c r="U23" i="1"/>
  <c r="V19" i="1"/>
  <c r="R19" i="1"/>
  <c r="U19" i="1"/>
  <c r="V15" i="1"/>
  <c r="R15" i="1"/>
  <c r="U15" i="1"/>
  <c r="V11" i="1"/>
  <c r="R11" i="1"/>
  <c r="U11" i="1"/>
  <c r="V7" i="1"/>
  <c r="R7" i="1"/>
  <c r="U7" i="1"/>
  <c r="R5" i="1"/>
  <c r="S7" i="1"/>
  <c r="S11" i="1"/>
  <c r="U12" i="1"/>
  <c r="W13" i="1"/>
  <c r="S15" i="1"/>
  <c r="S19" i="1"/>
  <c r="U20" i="1"/>
  <c r="W21" i="1"/>
  <c r="S23" i="1"/>
  <c r="U24" i="1"/>
  <c r="W27" i="1"/>
  <c r="T31" i="1"/>
  <c r="S33" i="1"/>
  <c r="V36" i="1"/>
  <c r="W43" i="1"/>
  <c r="U45" i="1"/>
  <c r="T47" i="1"/>
  <c r="V52" i="1"/>
  <c r="S56" i="1"/>
  <c r="W59" i="1"/>
  <c r="V64" i="1"/>
  <c r="T67" i="1"/>
  <c r="T75" i="1"/>
  <c r="V80" i="1"/>
  <c r="W81" i="1"/>
  <c r="S81" i="1"/>
  <c r="V81" i="1"/>
  <c r="R81" i="1"/>
  <c r="U81" i="1"/>
  <c r="T81" i="1"/>
  <c r="W69" i="1"/>
  <c r="S69" i="1"/>
  <c r="V69" i="1"/>
  <c r="R69" i="1"/>
  <c r="U69" i="1"/>
  <c r="T69" i="1"/>
  <c r="W65" i="1"/>
  <c r="S65" i="1"/>
  <c r="V65" i="1"/>
  <c r="R65" i="1"/>
  <c r="U65" i="1"/>
  <c r="T65" i="1"/>
  <c r="V57" i="1"/>
  <c r="R57" i="1"/>
  <c r="W57" i="1"/>
  <c r="U57" i="1"/>
  <c r="V49" i="1"/>
  <c r="R49" i="1"/>
  <c r="W49" i="1"/>
  <c r="U49" i="1"/>
  <c r="V41" i="1"/>
  <c r="R41" i="1"/>
  <c r="W41" i="1"/>
  <c r="U41" i="1"/>
  <c r="V29" i="1"/>
  <c r="R29" i="1"/>
  <c r="T29" i="1"/>
  <c r="S29" i="1"/>
  <c r="V17" i="1"/>
  <c r="R17" i="1"/>
  <c r="U17" i="1"/>
  <c r="V9" i="1"/>
  <c r="R9" i="1"/>
  <c r="U9" i="1"/>
  <c r="S9" i="1"/>
  <c r="S21" i="1"/>
  <c r="S25" i="1"/>
  <c r="U37" i="1"/>
  <c r="S41" i="1"/>
  <c r="U53" i="1"/>
  <c r="S57" i="1"/>
  <c r="U72" i="1"/>
  <c r="T72" i="1"/>
  <c r="S72" i="1"/>
  <c r="R72" i="1"/>
  <c r="T60" i="1"/>
  <c r="U60" i="1"/>
  <c r="S60" i="1"/>
  <c r="T48" i="1"/>
  <c r="W48" i="1"/>
  <c r="R48" i="1"/>
  <c r="V48" i="1"/>
  <c r="T40" i="1"/>
  <c r="W40" i="1"/>
  <c r="R40" i="1"/>
  <c r="V40" i="1"/>
  <c r="T32" i="1"/>
  <c r="W32" i="1"/>
  <c r="R32" i="1"/>
  <c r="V32" i="1"/>
  <c r="T16" i="1"/>
  <c r="W16" i="1"/>
  <c r="S16" i="1"/>
  <c r="T8" i="1"/>
  <c r="W8" i="1"/>
  <c r="S8" i="1"/>
  <c r="W4" i="1"/>
  <c r="S4" i="1"/>
  <c r="U78" i="1"/>
  <c r="T78" i="1"/>
  <c r="W78" i="1"/>
  <c r="V78" i="1"/>
  <c r="U74" i="1"/>
  <c r="T74" i="1"/>
  <c r="W74" i="1"/>
  <c r="V74" i="1"/>
  <c r="U70" i="1"/>
  <c r="T70" i="1"/>
  <c r="W70" i="1"/>
  <c r="V70" i="1"/>
  <c r="U66" i="1"/>
  <c r="T66" i="1"/>
  <c r="W66" i="1"/>
  <c r="V66" i="1"/>
  <c r="U62" i="1"/>
  <c r="T62" i="1"/>
  <c r="W62" i="1"/>
  <c r="V62" i="1"/>
  <c r="T58" i="1"/>
  <c r="V58" i="1"/>
  <c r="U58" i="1"/>
  <c r="T54" i="1"/>
  <c r="S54" i="1"/>
  <c r="W54" i="1"/>
  <c r="R54" i="1"/>
  <c r="T50" i="1"/>
  <c r="V50" i="1"/>
  <c r="U50" i="1"/>
  <c r="T46" i="1"/>
  <c r="S46" i="1"/>
  <c r="W46" i="1"/>
  <c r="R46" i="1"/>
  <c r="T42" i="1"/>
  <c r="V42" i="1"/>
  <c r="U42" i="1"/>
  <c r="T38" i="1"/>
  <c r="S38" i="1"/>
  <c r="W38" i="1"/>
  <c r="R38" i="1"/>
  <c r="T34" i="1"/>
  <c r="V34" i="1"/>
  <c r="U34" i="1"/>
  <c r="T30" i="1"/>
  <c r="S30" i="1"/>
  <c r="W30" i="1"/>
  <c r="R30" i="1"/>
  <c r="T26" i="1"/>
  <c r="V26" i="1"/>
  <c r="U26" i="1"/>
  <c r="T22" i="1"/>
  <c r="W22" i="1"/>
  <c r="S22" i="1"/>
  <c r="T18" i="1"/>
  <c r="W18" i="1"/>
  <c r="S18" i="1"/>
  <c r="T4" i="1"/>
  <c r="S5" i="1"/>
  <c r="V8" i="1"/>
  <c r="V12" i="1"/>
  <c r="V16" i="1"/>
  <c r="R18" i="1"/>
  <c r="T19" i="1"/>
  <c r="V20" i="1"/>
  <c r="R22" i="1"/>
  <c r="T23" i="1"/>
  <c r="V24" i="1"/>
  <c r="S26" i="1"/>
  <c r="R28" i="1"/>
  <c r="W29" i="1"/>
  <c r="U31" i="1"/>
  <c r="T33" i="1"/>
  <c r="S35" i="1"/>
  <c r="W36" i="1"/>
  <c r="V38" i="1"/>
  <c r="U40" i="1"/>
  <c r="S42" i="1"/>
  <c r="R44" i="1"/>
  <c r="W45" i="1"/>
  <c r="U47" i="1"/>
  <c r="T49" i="1"/>
  <c r="S51" i="1"/>
  <c r="W52" i="1"/>
  <c r="V54" i="1"/>
  <c r="U56" i="1"/>
  <c r="S58" i="1"/>
  <c r="R60" i="1"/>
  <c r="S62" i="1"/>
  <c r="W64" i="1"/>
  <c r="U67" i="1"/>
  <c r="S70" i="1"/>
  <c r="W72" i="1"/>
  <c r="U75" i="1"/>
  <c r="S78" i="1"/>
  <c r="W80" i="1"/>
  <c r="S6" i="1"/>
  <c r="S10" i="1"/>
  <c r="W10" i="1"/>
  <c r="S14" i="1"/>
  <c r="W14" i="1"/>
  <c r="AV4" i="1"/>
  <c r="AU5" i="1"/>
  <c r="D5" i="1" s="1"/>
  <c r="BX5" i="1" s="1"/>
  <c r="AU6" i="1"/>
  <c r="D6" i="1" s="1"/>
  <c r="BX6" i="1" s="1"/>
  <c r="AU7" i="1"/>
  <c r="D7" i="1" s="1"/>
  <c r="BX7" i="1" s="1"/>
  <c r="AU8" i="1"/>
  <c r="D8" i="1" s="1"/>
  <c r="BX8" i="1" s="1"/>
  <c r="AU9" i="1"/>
  <c r="D9" i="1" s="1"/>
  <c r="BX9" i="1" s="1"/>
  <c r="AU10" i="1"/>
  <c r="D10" i="1" s="1"/>
  <c r="BX10" i="1" s="1"/>
  <c r="AU11" i="1"/>
  <c r="D11" i="1" s="1"/>
  <c r="BX11" i="1" s="1"/>
  <c r="AU12" i="1"/>
  <c r="D12" i="1" s="1"/>
  <c r="BX12" i="1" s="1"/>
  <c r="AU13" i="1"/>
  <c r="D13" i="1" s="1"/>
  <c r="BX13" i="1" s="1"/>
  <c r="AU14" i="1"/>
  <c r="D14" i="1" s="1"/>
  <c r="BX14" i="1" s="1"/>
  <c r="AU15" i="1"/>
  <c r="D15" i="1" s="1"/>
  <c r="BX15" i="1" s="1"/>
  <c r="AU16" i="1"/>
  <c r="D16" i="1" s="1"/>
  <c r="BX16" i="1" s="1"/>
  <c r="AU17" i="1"/>
  <c r="D17" i="1" s="1"/>
  <c r="BX17" i="1" s="1"/>
  <c r="AU18" i="1"/>
  <c r="D18" i="1" s="1"/>
  <c r="BX18" i="1" s="1"/>
  <c r="AU19" i="1"/>
  <c r="D19" i="1" s="1"/>
  <c r="BX19" i="1" s="1"/>
  <c r="AU20" i="1"/>
  <c r="D20" i="1" s="1"/>
  <c r="BX20" i="1" s="1"/>
  <c r="AU21" i="1"/>
  <c r="D21" i="1" s="1"/>
  <c r="BX21" i="1" s="1"/>
  <c r="AU22" i="1"/>
  <c r="D22" i="1" s="1"/>
  <c r="BX22" i="1" s="1"/>
  <c r="AU23" i="1"/>
  <c r="D23" i="1" s="1"/>
  <c r="BX23" i="1" s="1"/>
  <c r="AU24" i="1"/>
  <c r="D24" i="1" s="1"/>
  <c r="BX24" i="1" s="1"/>
  <c r="AU25" i="1"/>
  <c r="D25" i="1" s="1"/>
  <c r="BX25" i="1" s="1"/>
  <c r="AU26" i="1"/>
  <c r="D26" i="1" s="1"/>
  <c r="BX26" i="1" s="1"/>
  <c r="AU27" i="1"/>
  <c r="D27" i="1" s="1"/>
  <c r="BX27" i="1" s="1"/>
  <c r="AU28" i="1"/>
  <c r="D28" i="1" s="1"/>
  <c r="BX28" i="1" s="1"/>
  <c r="AU29" i="1"/>
  <c r="D29" i="1" s="1"/>
  <c r="BX29" i="1" s="1"/>
  <c r="AU30" i="1"/>
  <c r="D30" i="1" s="1"/>
  <c r="BX30" i="1" s="1"/>
  <c r="AU31" i="1"/>
  <c r="D31" i="1" s="1"/>
  <c r="BX31" i="1" s="1"/>
  <c r="AU32" i="1"/>
  <c r="D32" i="1" s="1"/>
  <c r="BX32" i="1" s="1"/>
  <c r="AU33" i="1"/>
  <c r="D33" i="1" s="1"/>
  <c r="BX33" i="1" s="1"/>
  <c r="AU34" i="1"/>
  <c r="D34" i="1" s="1"/>
  <c r="BX34" i="1" s="1"/>
  <c r="AU35" i="1"/>
  <c r="D35" i="1" s="1"/>
  <c r="BX35" i="1" s="1"/>
  <c r="AU36" i="1"/>
  <c r="D36" i="1" s="1"/>
  <c r="BX36" i="1" s="1"/>
  <c r="AU37" i="1"/>
  <c r="D37" i="1" s="1"/>
  <c r="BX37" i="1" s="1"/>
  <c r="AU38" i="1"/>
  <c r="D38" i="1" s="1"/>
  <c r="BX38" i="1" s="1"/>
  <c r="AU39" i="1"/>
  <c r="D39" i="1" s="1"/>
  <c r="BX39" i="1" s="1"/>
  <c r="AU40" i="1"/>
  <c r="D40" i="1" s="1"/>
  <c r="BX40" i="1" s="1"/>
  <c r="AU41" i="1"/>
  <c r="D41" i="1" s="1"/>
  <c r="BX41" i="1" s="1"/>
  <c r="AU42" i="1"/>
  <c r="D42" i="1" s="1"/>
  <c r="BX42" i="1" s="1"/>
  <c r="AU43" i="1"/>
  <c r="D43" i="1" s="1"/>
  <c r="BX43" i="1" s="1"/>
  <c r="AU44" i="1"/>
  <c r="D44" i="1" s="1"/>
  <c r="BX44" i="1" s="1"/>
  <c r="AU45" i="1"/>
  <c r="D45" i="1" s="1"/>
  <c r="BX45" i="1" s="1"/>
  <c r="AU46" i="1"/>
  <c r="D46" i="1" s="1"/>
  <c r="BX46" i="1" s="1"/>
  <c r="AU47" i="1"/>
  <c r="D47" i="1" s="1"/>
  <c r="BX47" i="1" s="1"/>
  <c r="AU48" i="1"/>
  <c r="D48" i="1" s="1"/>
  <c r="BX48" i="1" s="1"/>
  <c r="AU49" i="1"/>
  <c r="D49" i="1" s="1"/>
  <c r="BX49" i="1" s="1"/>
  <c r="AU50" i="1"/>
  <c r="D50" i="1" s="1"/>
  <c r="BX50" i="1" s="1"/>
  <c r="AU51" i="1"/>
  <c r="D51" i="1" s="1"/>
  <c r="BX51" i="1" s="1"/>
  <c r="AU52" i="1"/>
  <c r="D52" i="1" s="1"/>
  <c r="BX52" i="1" s="1"/>
  <c r="AU53" i="1"/>
  <c r="D53" i="1" s="1"/>
  <c r="BX53" i="1" s="1"/>
  <c r="AU54" i="1"/>
  <c r="D54" i="1" s="1"/>
  <c r="BX54" i="1" s="1"/>
  <c r="AU55" i="1"/>
  <c r="D55" i="1" s="1"/>
  <c r="BX55" i="1" s="1"/>
  <c r="AU56" i="1"/>
  <c r="D56" i="1" s="1"/>
  <c r="BX56" i="1" s="1"/>
  <c r="AU57" i="1"/>
  <c r="D57" i="1" s="1"/>
  <c r="BX57" i="1" s="1"/>
  <c r="AU58" i="1"/>
  <c r="D58" i="1" s="1"/>
  <c r="BX58" i="1" s="1"/>
  <c r="AU59" i="1"/>
  <c r="D59" i="1" s="1"/>
  <c r="BX59" i="1" s="1"/>
  <c r="AU60" i="1"/>
  <c r="D60" i="1" s="1"/>
  <c r="BX60" i="1" s="1"/>
  <c r="AU61" i="1"/>
  <c r="D61" i="1" s="1"/>
  <c r="BX61" i="1" s="1"/>
  <c r="AU62" i="1"/>
  <c r="D62" i="1" s="1"/>
  <c r="BX62" i="1" s="1"/>
  <c r="AU63" i="1"/>
  <c r="D63" i="1" s="1"/>
  <c r="BX63" i="1" s="1"/>
  <c r="AU64" i="1"/>
  <c r="D64" i="1" s="1"/>
  <c r="BX64" i="1" s="1"/>
  <c r="AU65" i="1"/>
  <c r="D65" i="1" s="1"/>
  <c r="BX65" i="1" s="1"/>
  <c r="AU66" i="1"/>
  <c r="D66" i="1" s="1"/>
  <c r="BX66" i="1" s="1"/>
  <c r="AU67" i="1"/>
  <c r="D67" i="1" s="1"/>
  <c r="BX67" i="1" s="1"/>
  <c r="AU68" i="1"/>
  <c r="D68" i="1" s="1"/>
  <c r="BX68" i="1" s="1"/>
  <c r="AU69" i="1"/>
  <c r="D69" i="1" s="1"/>
  <c r="BX69" i="1" s="1"/>
  <c r="AU70" i="1"/>
  <c r="D70" i="1" s="1"/>
  <c r="BX70" i="1" s="1"/>
  <c r="AU4" i="1"/>
  <c r="D4" i="1" s="1"/>
  <c r="BX4" i="1" s="1"/>
  <c r="AW81" i="1"/>
  <c r="AV81" i="1"/>
  <c r="AW80" i="1"/>
  <c r="AV80" i="1"/>
  <c r="AW79" i="1"/>
  <c r="AV79" i="1"/>
  <c r="AW78" i="1"/>
  <c r="AV78" i="1"/>
  <c r="AW77" i="1"/>
  <c r="AV77" i="1"/>
  <c r="AV76" i="1"/>
  <c r="AW75" i="1"/>
  <c r="AV75" i="1"/>
  <c r="AW74" i="1"/>
  <c r="AV74" i="1"/>
  <c r="AW73" i="1"/>
  <c r="AV73" i="1"/>
  <c r="AW72" i="1"/>
  <c r="AV72" i="1"/>
  <c r="AW71" i="1"/>
  <c r="AV71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A4" i="1" l="1"/>
  <c r="Z4" i="1"/>
  <c r="AU73" i="1"/>
  <c r="X82" i="1"/>
  <c r="Y82" i="1"/>
  <c r="T82" i="1"/>
  <c r="R82" i="1"/>
  <c r="W82" i="1"/>
  <c r="V82" i="1"/>
  <c r="S82" i="1"/>
  <c r="U82" i="1"/>
  <c r="AU79" i="1"/>
  <c r="AU71" i="1"/>
  <c r="AU78" i="1"/>
  <c r="AU80" i="1"/>
  <c r="AU76" i="1"/>
  <c r="AU72" i="1"/>
  <c r="AU75" i="1"/>
  <c r="AU74" i="1"/>
  <c r="AU81" i="1"/>
  <c r="AU77" i="1"/>
  <c r="AX71" i="1"/>
  <c r="AX72" i="1"/>
  <c r="AX73" i="1"/>
  <c r="D73" i="1" s="1"/>
  <c r="BX73" i="1" s="1"/>
  <c r="AX74" i="1"/>
  <c r="AX75" i="1"/>
  <c r="D75" i="1" s="1"/>
  <c r="BX75" i="1" s="1"/>
  <c r="AX76" i="1"/>
  <c r="AX77" i="1"/>
  <c r="AX78" i="1"/>
  <c r="AX79" i="1"/>
  <c r="AX80" i="1"/>
  <c r="D80" i="1" s="1"/>
  <c r="BX80" i="1" s="1"/>
  <c r="AX81" i="1"/>
  <c r="D81" i="1" s="1"/>
  <c r="BX81" i="1" s="1"/>
  <c r="AY71" i="1"/>
  <c r="AY72" i="1"/>
  <c r="AY73" i="1"/>
  <c r="AY74" i="1"/>
  <c r="AY75" i="1"/>
  <c r="AY76" i="1"/>
  <c r="AY77" i="1"/>
  <c r="AY78" i="1"/>
  <c r="AY79" i="1"/>
  <c r="AY80" i="1"/>
  <c r="AY81" i="1"/>
  <c r="AZ71" i="1"/>
  <c r="AZ72" i="1"/>
  <c r="AZ73" i="1"/>
  <c r="AZ74" i="1"/>
  <c r="AZ75" i="1"/>
  <c r="AZ76" i="1"/>
  <c r="AZ77" i="1"/>
  <c r="AZ78" i="1"/>
  <c r="AZ79" i="1"/>
  <c r="AZ80" i="1"/>
  <c r="AZ81" i="1"/>
  <c r="BA71" i="1"/>
  <c r="BA72" i="1"/>
  <c r="BA73" i="1"/>
  <c r="BA74" i="1"/>
  <c r="BA75" i="1"/>
  <c r="BA76" i="1"/>
  <c r="BA77" i="1"/>
  <c r="BA78" i="1"/>
  <c r="BA79" i="1"/>
  <c r="BA80" i="1"/>
  <c r="BA81" i="1"/>
  <c r="AH70" i="1"/>
  <c r="H70" i="1" s="1"/>
  <c r="BZ70" i="1" s="1"/>
  <c r="AH69" i="1"/>
  <c r="F69" i="1" s="1"/>
  <c r="AH68" i="1"/>
  <c r="F68" i="1" s="1"/>
  <c r="AH67" i="1"/>
  <c r="F67" i="1" s="1"/>
  <c r="AH66" i="1"/>
  <c r="H66" i="1" s="1"/>
  <c r="BZ66" i="1" s="1"/>
  <c r="AH65" i="1"/>
  <c r="F65" i="1" s="1"/>
  <c r="AH64" i="1"/>
  <c r="F64" i="1" s="1"/>
  <c r="AH63" i="1"/>
  <c r="F63" i="1" s="1"/>
  <c r="AH62" i="1"/>
  <c r="H62" i="1" s="1"/>
  <c r="BZ62" i="1" s="1"/>
  <c r="AH61" i="1"/>
  <c r="F61" i="1" s="1"/>
  <c r="AH60" i="1"/>
  <c r="F60" i="1" s="1"/>
  <c r="AH59" i="1"/>
  <c r="F59" i="1" s="1"/>
  <c r="AH58" i="1"/>
  <c r="H58" i="1" s="1"/>
  <c r="BZ58" i="1" s="1"/>
  <c r="AH57" i="1"/>
  <c r="F57" i="1" s="1"/>
  <c r="AH56" i="1"/>
  <c r="F56" i="1" s="1"/>
  <c r="AH55" i="1"/>
  <c r="F55" i="1" s="1"/>
  <c r="AH54" i="1"/>
  <c r="H54" i="1" s="1"/>
  <c r="BZ54" i="1" s="1"/>
  <c r="AH53" i="1"/>
  <c r="F53" i="1" s="1"/>
  <c r="AH52" i="1"/>
  <c r="F52" i="1" s="1"/>
  <c r="AH51" i="1"/>
  <c r="F51" i="1" s="1"/>
  <c r="AH50" i="1"/>
  <c r="H50" i="1" s="1"/>
  <c r="BZ50" i="1" s="1"/>
  <c r="AH49" i="1"/>
  <c r="F49" i="1" s="1"/>
  <c r="AH48" i="1"/>
  <c r="F48" i="1" s="1"/>
  <c r="AH47" i="1"/>
  <c r="F47" i="1" s="1"/>
  <c r="AH46" i="1"/>
  <c r="H46" i="1" s="1"/>
  <c r="BZ46" i="1" s="1"/>
  <c r="AH45" i="1"/>
  <c r="F45" i="1" s="1"/>
  <c r="AH44" i="1"/>
  <c r="F44" i="1" s="1"/>
  <c r="AH43" i="1"/>
  <c r="F43" i="1" s="1"/>
  <c r="AH42" i="1"/>
  <c r="H42" i="1" s="1"/>
  <c r="BZ42" i="1" s="1"/>
  <c r="AH41" i="1"/>
  <c r="F41" i="1" s="1"/>
  <c r="AH40" i="1"/>
  <c r="F40" i="1" s="1"/>
  <c r="AH39" i="1"/>
  <c r="F39" i="1" s="1"/>
  <c r="AH38" i="1"/>
  <c r="H38" i="1" s="1"/>
  <c r="BZ38" i="1" s="1"/>
  <c r="AH37" i="1"/>
  <c r="F37" i="1" s="1"/>
  <c r="AH36" i="1"/>
  <c r="F36" i="1" s="1"/>
  <c r="AH35" i="1"/>
  <c r="F35" i="1" s="1"/>
  <c r="AH34" i="1"/>
  <c r="H34" i="1" s="1"/>
  <c r="BZ34" i="1" s="1"/>
  <c r="AH33" i="1"/>
  <c r="F33" i="1" s="1"/>
  <c r="AH32" i="1"/>
  <c r="F32" i="1" s="1"/>
  <c r="AH31" i="1"/>
  <c r="F31" i="1" s="1"/>
  <c r="AH30" i="1"/>
  <c r="H30" i="1" s="1"/>
  <c r="BZ30" i="1" s="1"/>
  <c r="AH29" i="1"/>
  <c r="F29" i="1" s="1"/>
  <c r="AH28" i="1"/>
  <c r="F28" i="1" s="1"/>
  <c r="AH27" i="1"/>
  <c r="F27" i="1" s="1"/>
  <c r="AH26" i="1"/>
  <c r="H26" i="1" s="1"/>
  <c r="BZ26" i="1" s="1"/>
  <c r="AH25" i="1"/>
  <c r="F25" i="1" s="1"/>
  <c r="AH24" i="1"/>
  <c r="F24" i="1" s="1"/>
  <c r="AH23" i="1"/>
  <c r="F23" i="1" s="1"/>
  <c r="AH22" i="1"/>
  <c r="H22" i="1" s="1"/>
  <c r="BZ22" i="1" s="1"/>
  <c r="AH21" i="1"/>
  <c r="F21" i="1" s="1"/>
  <c r="AH20" i="1"/>
  <c r="F20" i="1" s="1"/>
  <c r="AH19" i="1"/>
  <c r="F19" i="1" s="1"/>
  <c r="AH18" i="1"/>
  <c r="H18" i="1" s="1"/>
  <c r="BZ18" i="1" s="1"/>
  <c r="AH17" i="1"/>
  <c r="F17" i="1" s="1"/>
  <c r="AH16" i="1"/>
  <c r="F16" i="1" s="1"/>
  <c r="AH15" i="1"/>
  <c r="F15" i="1" s="1"/>
  <c r="AH14" i="1"/>
  <c r="H14" i="1" s="1"/>
  <c r="BZ14" i="1" s="1"/>
  <c r="AH13" i="1"/>
  <c r="F13" i="1" s="1"/>
  <c r="AH12" i="1"/>
  <c r="F12" i="1" s="1"/>
  <c r="AH11" i="1"/>
  <c r="F11" i="1" s="1"/>
  <c r="AH10" i="1"/>
  <c r="H10" i="1" s="1"/>
  <c r="BZ10" i="1" s="1"/>
  <c r="AH9" i="1"/>
  <c r="F9" i="1" s="1"/>
  <c r="AH8" i="1"/>
  <c r="F8" i="1" s="1"/>
  <c r="AH7" i="1"/>
  <c r="F7" i="1" s="1"/>
  <c r="AH6" i="1"/>
  <c r="H6" i="1" s="1"/>
  <c r="BZ6" i="1" s="1"/>
  <c r="AH5" i="1"/>
  <c r="F5" i="1" s="1"/>
  <c r="AH4" i="1"/>
  <c r="F4" i="1" s="1"/>
  <c r="BY4" i="1" s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I71" i="1"/>
  <c r="AJ71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84" i="1"/>
  <c r="AD8" i="1" l="1"/>
  <c r="BY8" i="1"/>
  <c r="AD12" i="1"/>
  <c r="BY12" i="1"/>
  <c r="AD16" i="1"/>
  <c r="BY16" i="1"/>
  <c r="AD20" i="1"/>
  <c r="BY20" i="1"/>
  <c r="AD24" i="1"/>
  <c r="BY24" i="1"/>
  <c r="AD28" i="1"/>
  <c r="BY28" i="1"/>
  <c r="AD32" i="1"/>
  <c r="BY32" i="1"/>
  <c r="AD36" i="1"/>
  <c r="BY36" i="1"/>
  <c r="AD40" i="1"/>
  <c r="BY40" i="1"/>
  <c r="AD44" i="1"/>
  <c r="BY44" i="1"/>
  <c r="AD48" i="1"/>
  <c r="BY48" i="1"/>
  <c r="AD52" i="1"/>
  <c r="BY52" i="1"/>
  <c r="AD56" i="1"/>
  <c r="BY56" i="1"/>
  <c r="AD60" i="1"/>
  <c r="BY60" i="1"/>
  <c r="AD64" i="1"/>
  <c r="BY64" i="1"/>
  <c r="AD68" i="1"/>
  <c r="BY68" i="1"/>
  <c r="AD5" i="1"/>
  <c r="BY5" i="1"/>
  <c r="AD9" i="1"/>
  <c r="BY9" i="1"/>
  <c r="AD13" i="1"/>
  <c r="BY13" i="1"/>
  <c r="AD17" i="1"/>
  <c r="BY17" i="1"/>
  <c r="AD21" i="1"/>
  <c r="BY21" i="1"/>
  <c r="AD25" i="1"/>
  <c r="BY25" i="1"/>
  <c r="AD29" i="1"/>
  <c r="BY29" i="1"/>
  <c r="AD33" i="1"/>
  <c r="BY33" i="1"/>
  <c r="AD37" i="1"/>
  <c r="BY37" i="1"/>
  <c r="AD41" i="1"/>
  <c r="BY41" i="1"/>
  <c r="AD45" i="1"/>
  <c r="BY45" i="1"/>
  <c r="AD49" i="1"/>
  <c r="BY49" i="1"/>
  <c r="AD53" i="1"/>
  <c r="BY53" i="1"/>
  <c r="AD57" i="1"/>
  <c r="BY57" i="1"/>
  <c r="AD61" i="1"/>
  <c r="BY61" i="1"/>
  <c r="AD65" i="1"/>
  <c r="BY65" i="1"/>
  <c r="AD69" i="1"/>
  <c r="BY69" i="1"/>
  <c r="AD7" i="1"/>
  <c r="BY7" i="1"/>
  <c r="AD11" i="1"/>
  <c r="BY11" i="1"/>
  <c r="AD15" i="1"/>
  <c r="BY15" i="1"/>
  <c r="AD19" i="1"/>
  <c r="BY19" i="1"/>
  <c r="AD23" i="1"/>
  <c r="BY23" i="1"/>
  <c r="AD27" i="1"/>
  <c r="BY27" i="1"/>
  <c r="AD31" i="1"/>
  <c r="BY31" i="1"/>
  <c r="AD35" i="1"/>
  <c r="BY35" i="1"/>
  <c r="AD39" i="1"/>
  <c r="BY39" i="1"/>
  <c r="AD43" i="1"/>
  <c r="BY43" i="1"/>
  <c r="AD47" i="1"/>
  <c r="BY47" i="1"/>
  <c r="AD51" i="1"/>
  <c r="BY51" i="1"/>
  <c r="AD55" i="1"/>
  <c r="BY55" i="1"/>
  <c r="AD59" i="1"/>
  <c r="BY59" i="1"/>
  <c r="AD63" i="1"/>
  <c r="BY63" i="1"/>
  <c r="AD67" i="1"/>
  <c r="BY67" i="1"/>
  <c r="AD4" i="1"/>
  <c r="D79" i="1"/>
  <c r="BX79" i="1" s="1"/>
  <c r="D71" i="1"/>
  <c r="BX71" i="1" s="1"/>
  <c r="D76" i="1"/>
  <c r="BX76" i="1" s="1"/>
  <c r="AH81" i="1"/>
  <c r="D72" i="1"/>
  <c r="BX72" i="1" s="1"/>
  <c r="D77" i="1"/>
  <c r="BX77" i="1" s="1"/>
  <c r="D78" i="1"/>
  <c r="BX78" i="1" s="1"/>
  <c r="D74" i="1"/>
  <c r="BX74" i="1" s="1"/>
  <c r="AH78" i="1"/>
  <c r="F18" i="1"/>
  <c r="F50" i="1"/>
  <c r="F34" i="1"/>
  <c r="F66" i="1"/>
  <c r="F10" i="1"/>
  <c r="F26" i="1"/>
  <c r="F42" i="1"/>
  <c r="F58" i="1"/>
  <c r="F14" i="1"/>
  <c r="F30" i="1"/>
  <c r="F46" i="1"/>
  <c r="F62" i="1"/>
  <c r="AH71" i="1"/>
  <c r="AH79" i="1"/>
  <c r="F6" i="1"/>
  <c r="F22" i="1"/>
  <c r="F38" i="1"/>
  <c r="F54" i="1"/>
  <c r="F70" i="1"/>
  <c r="AH75" i="1"/>
  <c r="H7" i="1"/>
  <c r="BZ7" i="1" s="1"/>
  <c r="H11" i="1"/>
  <c r="BZ11" i="1" s="1"/>
  <c r="H15" i="1"/>
  <c r="BZ15" i="1" s="1"/>
  <c r="H19" i="1"/>
  <c r="BZ19" i="1" s="1"/>
  <c r="H23" i="1"/>
  <c r="BZ23" i="1" s="1"/>
  <c r="H27" i="1"/>
  <c r="BZ27" i="1" s="1"/>
  <c r="H31" i="1"/>
  <c r="BZ31" i="1" s="1"/>
  <c r="H35" i="1"/>
  <c r="BZ35" i="1" s="1"/>
  <c r="H39" i="1"/>
  <c r="BZ39" i="1" s="1"/>
  <c r="H43" i="1"/>
  <c r="BZ43" i="1" s="1"/>
  <c r="H47" i="1"/>
  <c r="BZ47" i="1" s="1"/>
  <c r="H51" i="1"/>
  <c r="BZ51" i="1" s="1"/>
  <c r="H55" i="1"/>
  <c r="BZ55" i="1" s="1"/>
  <c r="H59" i="1"/>
  <c r="BZ59" i="1" s="1"/>
  <c r="H63" i="1"/>
  <c r="BZ63" i="1" s="1"/>
  <c r="H67" i="1"/>
  <c r="BZ67" i="1" s="1"/>
  <c r="AH72" i="1"/>
  <c r="AH76" i="1"/>
  <c r="AH80" i="1"/>
  <c r="H4" i="1"/>
  <c r="BZ4" i="1" s="1"/>
  <c r="H8" i="1"/>
  <c r="BZ8" i="1" s="1"/>
  <c r="H12" i="1"/>
  <c r="BZ12" i="1" s="1"/>
  <c r="H16" i="1"/>
  <c r="BZ16" i="1" s="1"/>
  <c r="H20" i="1"/>
  <c r="BZ20" i="1" s="1"/>
  <c r="H24" i="1"/>
  <c r="BZ24" i="1" s="1"/>
  <c r="H28" i="1"/>
  <c r="BZ28" i="1" s="1"/>
  <c r="H32" i="1"/>
  <c r="BZ32" i="1" s="1"/>
  <c r="H36" i="1"/>
  <c r="BZ36" i="1" s="1"/>
  <c r="H40" i="1"/>
  <c r="BZ40" i="1" s="1"/>
  <c r="H44" i="1"/>
  <c r="BZ44" i="1" s="1"/>
  <c r="H48" i="1"/>
  <c r="BZ48" i="1" s="1"/>
  <c r="H52" i="1"/>
  <c r="BZ52" i="1" s="1"/>
  <c r="H56" i="1"/>
  <c r="BZ56" i="1" s="1"/>
  <c r="H60" i="1"/>
  <c r="BZ60" i="1" s="1"/>
  <c r="H64" i="1"/>
  <c r="BZ64" i="1" s="1"/>
  <c r="H68" i="1"/>
  <c r="BZ68" i="1" s="1"/>
  <c r="AH73" i="1"/>
  <c r="AH77" i="1"/>
  <c r="H5" i="1"/>
  <c r="BZ5" i="1" s="1"/>
  <c r="H9" i="1"/>
  <c r="BZ9" i="1" s="1"/>
  <c r="H13" i="1"/>
  <c r="BZ13" i="1" s="1"/>
  <c r="H17" i="1"/>
  <c r="BZ17" i="1" s="1"/>
  <c r="H21" i="1"/>
  <c r="BZ21" i="1" s="1"/>
  <c r="H25" i="1"/>
  <c r="BZ25" i="1" s="1"/>
  <c r="H29" i="1"/>
  <c r="BZ29" i="1" s="1"/>
  <c r="H33" i="1"/>
  <c r="BZ33" i="1" s="1"/>
  <c r="H37" i="1"/>
  <c r="BZ37" i="1" s="1"/>
  <c r="H41" i="1"/>
  <c r="BZ41" i="1" s="1"/>
  <c r="H45" i="1"/>
  <c r="BZ45" i="1" s="1"/>
  <c r="H49" i="1"/>
  <c r="BZ49" i="1" s="1"/>
  <c r="H53" i="1"/>
  <c r="BZ53" i="1" s="1"/>
  <c r="H57" i="1"/>
  <c r="BZ57" i="1" s="1"/>
  <c r="H61" i="1"/>
  <c r="BZ61" i="1" s="1"/>
  <c r="H65" i="1"/>
  <c r="BZ65" i="1" s="1"/>
  <c r="H69" i="1"/>
  <c r="BZ69" i="1" s="1"/>
  <c r="AH74" i="1"/>
  <c r="AQ81" i="1"/>
  <c r="AR81" i="1"/>
  <c r="AN71" i="1"/>
  <c r="AR71" i="1"/>
  <c r="AM72" i="1"/>
  <c r="AQ72" i="1"/>
  <c r="AL73" i="1"/>
  <c r="AP73" i="1"/>
  <c r="AK74" i="1"/>
  <c r="AO74" i="1"/>
  <c r="AS74" i="1"/>
  <c r="AN75" i="1"/>
  <c r="AR75" i="1"/>
  <c r="AM76" i="1"/>
  <c r="AQ76" i="1"/>
  <c r="AL77" i="1"/>
  <c r="AP77" i="1"/>
  <c r="AK78" i="1"/>
  <c r="AO78" i="1"/>
  <c r="AS78" i="1"/>
  <c r="F78" i="1" s="1"/>
  <c r="BY78" i="1" s="1"/>
  <c r="AN79" i="1"/>
  <c r="AR79" i="1"/>
  <c r="AM80" i="1"/>
  <c r="AQ80" i="1"/>
  <c r="AL81" i="1"/>
  <c r="AP81" i="1"/>
  <c r="AO71" i="1"/>
  <c r="AS71" i="1"/>
  <c r="AN72" i="1"/>
  <c r="AR72" i="1"/>
  <c r="AM73" i="1"/>
  <c r="AQ73" i="1"/>
  <c r="AL74" i="1"/>
  <c r="AP74" i="1"/>
  <c r="AK75" i="1"/>
  <c r="AO75" i="1"/>
  <c r="AS75" i="1"/>
  <c r="AN76" i="1"/>
  <c r="AR76" i="1"/>
  <c r="AM77" i="1"/>
  <c r="AQ77" i="1"/>
  <c r="AL78" i="1"/>
  <c r="AP78" i="1"/>
  <c r="AK79" i="1"/>
  <c r="AO79" i="1"/>
  <c r="AS79" i="1"/>
  <c r="AN80" i="1"/>
  <c r="AR80" i="1"/>
  <c r="AM81" i="1"/>
  <c r="AL71" i="1"/>
  <c r="AP71" i="1"/>
  <c r="AK72" i="1"/>
  <c r="AO72" i="1"/>
  <c r="AS72" i="1"/>
  <c r="AN73" i="1"/>
  <c r="AR73" i="1"/>
  <c r="AM74" i="1"/>
  <c r="AQ74" i="1"/>
  <c r="AL75" i="1"/>
  <c r="AP75" i="1"/>
  <c r="H75" i="1" s="1"/>
  <c r="BZ75" i="1" s="1"/>
  <c r="AK76" i="1"/>
  <c r="AO76" i="1"/>
  <c r="AS76" i="1"/>
  <c r="AN77" i="1"/>
  <c r="AR77" i="1"/>
  <c r="AM78" i="1"/>
  <c r="AQ78" i="1"/>
  <c r="AL79" i="1"/>
  <c r="AP79" i="1"/>
  <c r="AK80" i="1"/>
  <c r="AO80" i="1"/>
  <c r="AS80" i="1"/>
  <c r="AN81" i="1"/>
  <c r="AK71" i="1"/>
  <c r="AM71" i="1"/>
  <c r="AQ71" i="1"/>
  <c r="AL72" i="1"/>
  <c r="AP72" i="1"/>
  <c r="AK73" i="1"/>
  <c r="AO73" i="1"/>
  <c r="AS73" i="1"/>
  <c r="F73" i="1" s="1"/>
  <c r="AN74" i="1"/>
  <c r="AR74" i="1"/>
  <c r="AM75" i="1"/>
  <c r="AQ75" i="1"/>
  <c r="AL76" i="1"/>
  <c r="AP76" i="1"/>
  <c r="AK77" i="1"/>
  <c r="AO77" i="1"/>
  <c r="AS77" i="1"/>
  <c r="F77" i="1" s="1"/>
  <c r="BY77" i="1" s="1"/>
  <c r="AN78" i="1"/>
  <c r="AR78" i="1"/>
  <c r="AM79" i="1"/>
  <c r="AQ79" i="1"/>
  <c r="AL80" i="1"/>
  <c r="AP80" i="1"/>
  <c r="AK81" i="1"/>
  <c r="AO81" i="1"/>
  <c r="AS81" i="1"/>
  <c r="F81" i="1" s="1"/>
  <c r="E25" i="3"/>
  <c r="E26" i="3" s="1"/>
  <c r="BX83" i="1" l="1"/>
  <c r="BX3" i="1" s="1"/>
  <c r="AD22" i="1"/>
  <c r="BY22" i="1"/>
  <c r="AD62" i="1"/>
  <c r="BY62" i="1"/>
  <c r="AD58" i="1"/>
  <c r="BY58" i="1"/>
  <c r="AD66" i="1"/>
  <c r="BY66" i="1"/>
  <c r="AD81" i="1"/>
  <c r="BY81" i="1"/>
  <c r="AD70" i="1"/>
  <c r="BY70" i="1"/>
  <c r="AD6" i="1"/>
  <c r="BY6" i="1"/>
  <c r="AD46" i="1"/>
  <c r="BY46" i="1"/>
  <c r="AD42" i="1"/>
  <c r="BY42" i="1"/>
  <c r="AD34" i="1"/>
  <c r="BY34" i="1"/>
  <c r="AD54" i="1"/>
  <c r="BY54" i="1"/>
  <c r="AD30" i="1"/>
  <c r="BY30" i="1"/>
  <c r="AD26" i="1"/>
  <c r="BY26" i="1"/>
  <c r="AD50" i="1"/>
  <c r="BY50" i="1"/>
  <c r="AD73" i="1"/>
  <c r="BY73" i="1"/>
  <c r="AD38" i="1"/>
  <c r="BY38" i="1"/>
  <c r="AD14" i="1"/>
  <c r="BY14" i="1"/>
  <c r="AD10" i="1"/>
  <c r="BY10" i="1"/>
  <c r="AD18" i="1"/>
  <c r="BY18" i="1"/>
  <c r="AD78" i="1"/>
  <c r="AD77" i="1"/>
  <c r="H80" i="1"/>
  <c r="BZ80" i="1" s="1"/>
  <c r="H78" i="1"/>
  <c r="BZ78" i="1" s="1"/>
  <c r="F71" i="1"/>
  <c r="H79" i="1"/>
  <c r="BZ79" i="1" s="1"/>
  <c r="H73" i="1"/>
  <c r="BZ73" i="1" s="1"/>
  <c r="H72" i="1"/>
  <c r="BZ72" i="1" s="1"/>
  <c r="F72" i="1"/>
  <c r="F79" i="1"/>
  <c r="H76" i="1"/>
  <c r="BZ76" i="1" s="1"/>
  <c r="F75" i="1"/>
  <c r="H71" i="1"/>
  <c r="BZ71" i="1" s="1"/>
  <c r="F74" i="1"/>
  <c r="H74" i="1"/>
  <c r="BZ74" i="1" s="1"/>
  <c r="H81" i="1"/>
  <c r="BZ81" i="1" s="1"/>
  <c r="F80" i="1"/>
  <c r="H77" i="1"/>
  <c r="BZ77" i="1" s="1"/>
  <c r="F76" i="1"/>
  <c r="B9" i="3"/>
  <c r="A9" i="3"/>
  <c r="C8" i="3"/>
  <c r="B8" i="3"/>
  <c r="A8" i="3"/>
  <c r="C7" i="3"/>
  <c r="C6" i="3"/>
  <c r="C5" i="3"/>
  <c r="BZ83" i="1" l="1"/>
  <c r="BZ3" i="1" s="1"/>
  <c r="AD76" i="1"/>
  <c r="BY76" i="1"/>
  <c r="AD74" i="1"/>
  <c r="BY74" i="1"/>
  <c r="AD79" i="1"/>
  <c r="BY79" i="1"/>
  <c r="AD80" i="1"/>
  <c r="BY80" i="1"/>
  <c r="AD72" i="1"/>
  <c r="BY72" i="1"/>
  <c r="AD71" i="1"/>
  <c r="BY71" i="1"/>
  <c r="AD75" i="1"/>
  <c r="BY75" i="1"/>
  <c r="R11" i="2"/>
  <c r="BY83" i="1" l="1"/>
  <c r="BY3" i="1" s="1"/>
  <c r="P3" i="3"/>
  <c r="R3" i="3" l="1"/>
  <c r="AG2" i="2"/>
  <c r="Q3" i="3" s="1"/>
  <c r="AF81" i="2" l="1"/>
  <c r="P82" i="3" s="1"/>
  <c r="C15" i="3" l="1"/>
  <c r="C14" i="3"/>
  <c r="R15" i="2" l="1"/>
  <c r="R13" i="2"/>
  <c r="R12" i="2"/>
  <c r="R10" i="2"/>
  <c r="AA82" i="1" l="1"/>
  <c r="Z82" i="1"/>
  <c r="AC82" i="1" l="1"/>
  <c r="T81" i="2" s="1"/>
  <c r="AB82" i="1"/>
  <c r="AG81" i="2" l="1"/>
  <c r="Q82" i="3" s="1"/>
  <c r="M2" i="2" l="1"/>
  <c r="J2" i="2"/>
  <c r="L2" i="2"/>
  <c r="I2" i="2"/>
  <c r="K2" i="2"/>
  <c r="H2" i="2"/>
  <c r="AA81" i="1"/>
  <c r="Z81" i="1"/>
  <c r="AA80" i="1"/>
  <c r="Z80" i="1"/>
  <c r="AA79" i="1"/>
  <c r="Z79" i="1"/>
  <c r="AA78" i="1"/>
  <c r="Z78" i="1"/>
  <c r="AA77" i="1"/>
  <c r="Z77" i="1"/>
  <c r="AA76" i="1"/>
  <c r="Z76" i="1"/>
  <c r="AA75" i="1"/>
  <c r="Z75" i="1"/>
  <c r="AA74" i="1"/>
  <c r="Z74" i="1"/>
  <c r="AA73" i="1"/>
  <c r="Z73" i="1"/>
  <c r="AA72" i="1"/>
  <c r="Z72" i="1"/>
  <c r="AA71" i="1"/>
  <c r="Z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20" i="1"/>
  <c r="Z20" i="1"/>
  <c r="AA19" i="1"/>
  <c r="Z19" i="1"/>
  <c r="AA18" i="1"/>
  <c r="Z18" i="1"/>
  <c r="AA17" i="1"/>
  <c r="Z17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  <c r="AA5" i="1"/>
  <c r="Z5" i="1"/>
  <c r="AC4" i="1" l="1"/>
  <c r="AC6" i="1"/>
  <c r="AC8" i="1"/>
  <c r="AC10" i="1"/>
  <c r="AC12" i="1"/>
  <c r="AC14" i="1"/>
  <c r="AC16" i="1"/>
  <c r="AC18" i="1"/>
  <c r="AC20" i="1"/>
  <c r="AC22" i="1"/>
  <c r="AC24" i="1"/>
  <c r="AC26" i="1"/>
  <c r="AC28" i="1"/>
  <c r="AC30" i="1"/>
  <c r="AC32" i="1"/>
  <c r="AC34" i="1"/>
  <c r="AC36" i="1"/>
  <c r="AC38" i="1"/>
  <c r="AC40" i="1"/>
  <c r="AC42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C72" i="1"/>
  <c r="AC74" i="1"/>
  <c r="AC76" i="1"/>
  <c r="AC78" i="1"/>
  <c r="AC5" i="1"/>
  <c r="AC7" i="1"/>
  <c r="AC9" i="1"/>
  <c r="AC11" i="1"/>
  <c r="AC13" i="1"/>
  <c r="AC15" i="1"/>
  <c r="AC17" i="1"/>
  <c r="AC19" i="1"/>
  <c r="AC21" i="1"/>
  <c r="AC23" i="1"/>
  <c r="AC25" i="1"/>
  <c r="AC27" i="1"/>
  <c r="AC29" i="1"/>
  <c r="AC31" i="1"/>
  <c r="AC33" i="1"/>
  <c r="AC35" i="1"/>
  <c r="AC37" i="1"/>
  <c r="AC39" i="1"/>
  <c r="AC41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69" i="1"/>
  <c r="AC71" i="1"/>
  <c r="AC73" i="1"/>
  <c r="AC75" i="1"/>
  <c r="AC77" i="1"/>
  <c r="AC79" i="1"/>
  <c r="AC81" i="1"/>
  <c r="AC80" i="1"/>
  <c r="AB5" i="1"/>
  <c r="AB7" i="1"/>
  <c r="AB9" i="1"/>
  <c r="AB11" i="1"/>
  <c r="AB13" i="1"/>
  <c r="AB15" i="1"/>
  <c r="AB17" i="1"/>
  <c r="AB19" i="1"/>
  <c r="AB21" i="1"/>
  <c r="AB23" i="1"/>
  <c r="AB25" i="1"/>
  <c r="AB27" i="1"/>
  <c r="AB29" i="1"/>
  <c r="AB31" i="1"/>
  <c r="AB33" i="1"/>
  <c r="AB35" i="1"/>
  <c r="AB37" i="1"/>
  <c r="AB39" i="1"/>
  <c r="AB41" i="1"/>
  <c r="AB43" i="1"/>
  <c r="AB45" i="1"/>
  <c r="AB47" i="1"/>
  <c r="AB49" i="1"/>
  <c r="AB51" i="1"/>
  <c r="AB53" i="1"/>
  <c r="AB55" i="1"/>
  <c r="AB57" i="1"/>
  <c r="AB59" i="1"/>
  <c r="AB61" i="1"/>
  <c r="AB63" i="1"/>
  <c r="AB65" i="1"/>
  <c r="AB67" i="1"/>
  <c r="AB69" i="1"/>
  <c r="AB71" i="1"/>
  <c r="AB73" i="1"/>
  <c r="AB75" i="1"/>
  <c r="AB77" i="1"/>
  <c r="AB79" i="1"/>
  <c r="AB81" i="1"/>
  <c r="AB4" i="1"/>
  <c r="AB6" i="1"/>
  <c r="AB10" i="1"/>
  <c r="AB12" i="1"/>
  <c r="AB14" i="1"/>
  <c r="AB16" i="1"/>
  <c r="AB18" i="1"/>
  <c r="AB20" i="1"/>
  <c r="AB22" i="1"/>
  <c r="AB24" i="1"/>
  <c r="AB26" i="1"/>
  <c r="AB28" i="1"/>
  <c r="AB30" i="1"/>
  <c r="AB32" i="1"/>
  <c r="AB34" i="1"/>
  <c r="AB36" i="1"/>
  <c r="AB38" i="1"/>
  <c r="AB40" i="1"/>
  <c r="AB42" i="1"/>
  <c r="AB44" i="1"/>
  <c r="AB46" i="1"/>
  <c r="AB48" i="1"/>
  <c r="AB50" i="1"/>
  <c r="AB52" i="1"/>
  <c r="AB54" i="1"/>
  <c r="AB56" i="1"/>
  <c r="AB58" i="1"/>
  <c r="AB60" i="1"/>
  <c r="AB62" i="1"/>
  <c r="AB64" i="1"/>
  <c r="AB66" i="1"/>
  <c r="AB68" i="1"/>
  <c r="AB70" i="1"/>
  <c r="AB72" i="1"/>
  <c r="AB74" i="1"/>
  <c r="AB8" i="1"/>
  <c r="AB76" i="1"/>
  <c r="AB78" i="1"/>
  <c r="AB80" i="1"/>
  <c r="C4" i="2"/>
  <c r="T4" i="2" s="1"/>
  <c r="C5" i="2"/>
  <c r="T5" i="2" s="1"/>
  <c r="C6" i="2"/>
  <c r="T6" i="2" s="1"/>
  <c r="C7" i="2"/>
  <c r="T7" i="2" s="1"/>
  <c r="C8" i="2"/>
  <c r="T8" i="2" s="1"/>
  <c r="C9" i="2"/>
  <c r="T9" i="2" s="1"/>
  <c r="C10" i="2"/>
  <c r="T10" i="2" s="1"/>
  <c r="C11" i="2"/>
  <c r="T11" i="2" s="1"/>
  <c r="C12" i="2"/>
  <c r="T12" i="2" s="1"/>
  <c r="C13" i="2"/>
  <c r="T13" i="2" s="1"/>
  <c r="C14" i="2"/>
  <c r="T14" i="2" s="1"/>
  <c r="C15" i="2"/>
  <c r="T15" i="2" s="1"/>
  <c r="C16" i="2"/>
  <c r="T16" i="2" s="1"/>
  <c r="C17" i="2"/>
  <c r="T17" i="2" s="1"/>
  <c r="C18" i="2"/>
  <c r="T18" i="2" s="1"/>
  <c r="C19" i="2"/>
  <c r="T19" i="2" s="1"/>
  <c r="C20" i="2"/>
  <c r="T20" i="2" s="1"/>
  <c r="C21" i="2"/>
  <c r="T21" i="2" s="1"/>
  <c r="C22" i="2"/>
  <c r="T22" i="2" s="1"/>
  <c r="C23" i="2"/>
  <c r="T23" i="2" s="1"/>
  <c r="C24" i="2"/>
  <c r="T24" i="2" s="1"/>
  <c r="C25" i="2"/>
  <c r="T25" i="2" s="1"/>
  <c r="C26" i="2"/>
  <c r="T26" i="2" s="1"/>
  <c r="C27" i="2"/>
  <c r="T27" i="2" s="1"/>
  <c r="C28" i="2"/>
  <c r="T28" i="2" s="1"/>
  <c r="C29" i="2"/>
  <c r="T29" i="2" s="1"/>
  <c r="C30" i="2"/>
  <c r="T30" i="2" s="1"/>
  <c r="C31" i="2"/>
  <c r="T31" i="2" s="1"/>
  <c r="C32" i="2"/>
  <c r="T32" i="2" s="1"/>
  <c r="C33" i="2"/>
  <c r="T33" i="2" s="1"/>
  <c r="C34" i="2"/>
  <c r="T34" i="2" s="1"/>
  <c r="C35" i="2"/>
  <c r="T35" i="2" s="1"/>
  <c r="C36" i="2"/>
  <c r="T36" i="2" s="1"/>
  <c r="C37" i="2"/>
  <c r="T37" i="2" s="1"/>
  <c r="C38" i="2"/>
  <c r="T38" i="2" s="1"/>
  <c r="C39" i="2"/>
  <c r="T39" i="2" s="1"/>
  <c r="C40" i="2"/>
  <c r="T40" i="2" s="1"/>
  <c r="C41" i="2"/>
  <c r="T41" i="2" s="1"/>
  <c r="C42" i="2"/>
  <c r="T42" i="2" s="1"/>
  <c r="C43" i="2"/>
  <c r="T43" i="2" s="1"/>
  <c r="C44" i="2"/>
  <c r="T44" i="2" s="1"/>
  <c r="C45" i="2"/>
  <c r="T45" i="2" s="1"/>
  <c r="C46" i="2"/>
  <c r="T46" i="2" s="1"/>
  <c r="C47" i="2"/>
  <c r="T47" i="2" s="1"/>
  <c r="C48" i="2"/>
  <c r="T48" i="2" s="1"/>
  <c r="C49" i="2"/>
  <c r="T49" i="2" s="1"/>
  <c r="C50" i="2"/>
  <c r="T50" i="2" s="1"/>
  <c r="C51" i="2"/>
  <c r="T51" i="2" s="1"/>
  <c r="C52" i="2"/>
  <c r="T52" i="2" s="1"/>
  <c r="C53" i="2"/>
  <c r="T53" i="2" s="1"/>
  <c r="C54" i="2"/>
  <c r="T54" i="2" s="1"/>
  <c r="C55" i="2"/>
  <c r="T55" i="2" s="1"/>
  <c r="C56" i="2"/>
  <c r="T56" i="2" s="1"/>
  <c r="C57" i="2"/>
  <c r="T57" i="2" s="1"/>
  <c r="C58" i="2"/>
  <c r="T58" i="2" s="1"/>
  <c r="C59" i="2"/>
  <c r="T59" i="2" s="1"/>
  <c r="C60" i="2"/>
  <c r="T60" i="2" s="1"/>
  <c r="C61" i="2"/>
  <c r="T61" i="2" s="1"/>
  <c r="C62" i="2"/>
  <c r="T62" i="2" s="1"/>
  <c r="C63" i="2"/>
  <c r="T63" i="2" s="1"/>
  <c r="C64" i="2"/>
  <c r="T64" i="2" s="1"/>
  <c r="C65" i="2"/>
  <c r="T65" i="2" s="1"/>
  <c r="C66" i="2"/>
  <c r="T66" i="2" s="1"/>
  <c r="C67" i="2"/>
  <c r="T67" i="2" s="1"/>
  <c r="C68" i="2"/>
  <c r="T68" i="2" s="1"/>
  <c r="C69" i="2"/>
  <c r="T69" i="2" s="1"/>
  <c r="C70" i="2"/>
  <c r="T70" i="2" s="1"/>
  <c r="C71" i="2"/>
  <c r="T71" i="2" s="1"/>
  <c r="C72" i="2"/>
  <c r="T72" i="2" s="1"/>
  <c r="C73" i="2"/>
  <c r="T73" i="2" s="1"/>
  <c r="C74" i="2"/>
  <c r="T74" i="2" s="1"/>
  <c r="C75" i="2"/>
  <c r="T75" i="2" s="1"/>
  <c r="C76" i="2"/>
  <c r="T76" i="2" s="1"/>
  <c r="C77" i="2"/>
  <c r="T77" i="2" s="1"/>
  <c r="C78" i="2"/>
  <c r="T78" i="2" s="1"/>
  <c r="C79" i="2"/>
  <c r="T79" i="2" s="1"/>
  <c r="C80" i="2"/>
  <c r="T80" i="2" s="1"/>
  <c r="C3" i="2"/>
  <c r="T3" i="2" s="1"/>
  <c r="G73" i="2" l="1"/>
  <c r="F73" i="2"/>
  <c r="E73" i="2"/>
  <c r="D73" i="2"/>
  <c r="AF73" i="2" s="1"/>
  <c r="P74" i="3" s="1"/>
  <c r="G69" i="2"/>
  <c r="F69" i="2"/>
  <c r="E69" i="2"/>
  <c r="D69" i="2"/>
  <c r="AF69" i="2" s="1"/>
  <c r="P70" i="3" s="1"/>
  <c r="G61" i="2"/>
  <c r="F61" i="2"/>
  <c r="E61" i="2"/>
  <c r="D61" i="2"/>
  <c r="AF61" i="2" s="1"/>
  <c r="P62" i="3" s="1"/>
  <c r="G57" i="2"/>
  <c r="F57" i="2"/>
  <c r="E57" i="2"/>
  <c r="D57" i="2"/>
  <c r="AF57" i="2" s="1"/>
  <c r="P58" i="3" s="1"/>
  <c r="G53" i="2"/>
  <c r="F53" i="2"/>
  <c r="E53" i="2"/>
  <c r="D53" i="2"/>
  <c r="AF53" i="2" s="1"/>
  <c r="P54" i="3" s="1"/>
  <c r="G49" i="2"/>
  <c r="F49" i="2"/>
  <c r="E49" i="2"/>
  <c r="D49" i="2"/>
  <c r="AF49" i="2" s="1"/>
  <c r="P50" i="3" s="1"/>
  <c r="G45" i="2"/>
  <c r="F45" i="2"/>
  <c r="E45" i="2"/>
  <c r="D45" i="2"/>
  <c r="AF45" i="2" s="1"/>
  <c r="P46" i="3" s="1"/>
  <c r="G41" i="2"/>
  <c r="F41" i="2"/>
  <c r="E41" i="2"/>
  <c r="D41" i="2"/>
  <c r="AF41" i="2" s="1"/>
  <c r="P42" i="3" s="1"/>
  <c r="G37" i="2"/>
  <c r="F37" i="2"/>
  <c r="E37" i="2"/>
  <c r="D37" i="2"/>
  <c r="AF37" i="2" s="1"/>
  <c r="P38" i="3" s="1"/>
  <c r="G33" i="2"/>
  <c r="F33" i="2"/>
  <c r="E33" i="2"/>
  <c r="D33" i="2"/>
  <c r="AF33" i="2" s="1"/>
  <c r="P34" i="3" s="1"/>
  <c r="G29" i="2"/>
  <c r="F29" i="2"/>
  <c r="E29" i="2"/>
  <c r="D29" i="2"/>
  <c r="AF29" i="2" s="1"/>
  <c r="P30" i="3" s="1"/>
  <c r="G25" i="2"/>
  <c r="F25" i="2"/>
  <c r="E25" i="2"/>
  <c r="D25" i="2"/>
  <c r="AF25" i="2" s="1"/>
  <c r="P26" i="3" s="1"/>
  <c r="G21" i="2"/>
  <c r="F21" i="2"/>
  <c r="E21" i="2"/>
  <c r="D21" i="2"/>
  <c r="AF21" i="2" s="1"/>
  <c r="P22" i="3" s="1"/>
  <c r="G17" i="2"/>
  <c r="F17" i="2"/>
  <c r="D17" i="2"/>
  <c r="AF17" i="2" s="1"/>
  <c r="P18" i="3" s="1"/>
  <c r="E17" i="2"/>
  <c r="G13" i="2"/>
  <c r="F13" i="2"/>
  <c r="E13" i="2"/>
  <c r="D13" i="2"/>
  <c r="AF13" i="2" s="1"/>
  <c r="P14" i="3" s="1"/>
  <c r="F9" i="2"/>
  <c r="E9" i="2"/>
  <c r="D9" i="2"/>
  <c r="AF9" i="2" s="1"/>
  <c r="P10" i="3" s="1"/>
  <c r="G9" i="2"/>
  <c r="F5" i="2"/>
  <c r="E5" i="2"/>
  <c r="D5" i="2"/>
  <c r="AF5" i="2" s="1"/>
  <c r="P6" i="3" s="1"/>
  <c r="G5" i="2"/>
  <c r="D3" i="2"/>
  <c r="G3" i="2"/>
  <c r="F3" i="2"/>
  <c r="E3" i="2"/>
  <c r="G77" i="2"/>
  <c r="F77" i="2"/>
  <c r="E77" i="2"/>
  <c r="D77" i="2"/>
  <c r="AF77" i="2" s="1"/>
  <c r="P78" i="3" s="1"/>
  <c r="G65" i="2"/>
  <c r="F65" i="2"/>
  <c r="E65" i="2"/>
  <c r="D65" i="2"/>
  <c r="AF65" i="2" s="1"/>
  <c r="P66" i="3" s="1"/>
  <c r="D80" i="2"/>
  <c r="AF80" i="2" s="1"/>
  <c r="P81" i="3" s="1"/>
  <c r="G80" i="2"/>
  <c r="F80" i="2"/>
  <c r="E80" i="2"/>
  <c r="D76" i="2"/>
  <c r="AF76" i="2" s="1"/>
  <c r="P77" i="3" s="1"/>
  <c r="G76" i="2"/>
  <c r="F76" i="2"/>
  <c r="E76" i="2"/>
  <c r="D72" i="2"/>
  <c r="G72" i="2"/>
  <c r="F72" i="2"/>
  <c r="E72" i="2"/>
  <c r="D68" i="2"/>
  <c r="AF68" i="2" s="1"/>
  <c r="P69" i="3" s="1"/>
  <c r="G68" i="2"/>
  <c r="F68" i="2"/>
  <c r="E68" i="2"/>
  <c r="D64" i="2"/>
  <c r="AF64" i="2" s="1"/>
  <c r="P65" i="3" s="1"/>
  <c r="G64" i="2"/>
  <c r="F64" i="2"/>
  <c r="E64" i="2"/>
  <c r="D60" i="2"/>
  <c r="AF60" i="2" s="1"/>
  <c r="P61" i="3" s="1"/>
  <c r="G60" i="2"/>
  <c r="F60" i="2"/>
  <c r="E60" i="2"/>
  <c r="D56" i="2"/>
  <c r="AF56" i="2" s="1"/>
  <c r="P57" i="3" s="1"/>
  <c r="G56" i="2"/>
  <c r="F56" i="2"/>
  <c r="E56" i="2"/>
  <c r="D52" i="2"/>
  <c r="AF52" i="2" s="1"/>
  <c r="P53" i="3" s="1"/>
  <c r="G52" i="2"/>
  <c r="F52" i="2"/>
  <c r="E52" i="2"/>
  <c r="D48" i="2"/>
  <c r="AF48" i="2" s="1"/>
  <c r="P49" i="3" s="1"/>
  <c r="G48" i="2"/>
  <c r="F48" i="2"/>
  <c r="E48" i="2"/>
  <c r="D44" i="2"/>
  <c r="AF44" i="2" s="1"/>
  <c r="P45" i="3" s="1"/>
  <c r="G44" i="2"/>
  <c r="F44" i="2"/>
  <c r="E44" i="2"/>
  <c r="D40" i="2"/>
  <c r="AF40" i="2" s="1"/>
  <c r="P41" i="3" s="1"/>
  <c r="G40" i="2"/>
  <c r="F40" i="2"/>
  <c r="E40" i="2"/>
  <c r="D36" i="2"/>
  <c r="AF36" i="2" s="1"/>
  <c r="P37" i="3" s="1"/>
  <c r="G36" i="2"/>
  <c r="F36" i="2"/>
  <c r="E36" i="2"/>
  <c r="D32" i="2"/>
  <c r="AF32" i="2" s="1"/>
  <c r="P33" i="3" s="1"/>
  <c r="G32" i="2"/>
  <c r="F32" i="2"/>
  <c r="E32" i="2"/>
  <c r="D28" i="2"/>
  <c r="AF28" i="2" s="1"/>
  <c r="P29" i="3" s="1"/>
  <c r="G28" i="2"/>
  <c r="F28" i="2"/>
  <c r="E28" i="2"/>
  <c r="D24" i="2"/>
  <c r="AF24" i="2" s="1"/>
  <c r="P25" i="3" s="1"/>
  <c r="G24" i="2"/>
  <c r="F24" i="2"/>
  <c r="E24" i="2"/>
  <c r="D20" i="2"/>
  <c r="AF20" i="2" s="1"/>
  <c r="P21" i="3" s="1"/>
  <c r="G20" i="2"/>
  <c r="F20" i="2"/>
  <c r="E20" i="2"/>
  <c r="D16" i="2"/>
  <c r="AF16" i="2" s="1"/>
  <c r="P17" i="3" s="1"/>
  <c r="G16" i="2"/>
  <c r="F16" i="2"/>
  <c r="E16" i="2"/>
  <c r="G12" i="2"/>
  <c r="F12" i="2"/>
  <c r="E12" i="2"/>
  <c r="D12" i="2"/>
  <c r="AF12" i="2" s="1"/>
  <c r="P13" i="3" s="1"/>
  <c r="G8" i="2"/>
  <c r="F8" i="2"/>
  <c r="E8" i="2"/>
  <c r="D8" i="2"/>
  <c r="AF8" i="2" s="1"/>
  <c r="P9" i="3" s="1"/>
  <c r="G4" i="2"/>
  <c r="F4" i="2"/>
  <c r="E4" i="2"/>
  <c r="D4" i="2"/>
  <c r="AF4" i="2" s="1"/>
  <c r="P5" i="3" s="1"/>
  <c r="E79" i="2"/>
  <c r="D79" i="2"/>
  <c r="AF79" i="2" s="1"/>
  <c r="P80" i="3" s="1"/>
  <c r="G79" i="2"/>
  <c r="F79" i="2"/>
  <c r="E75" i="2"/>
  <c r="D75" i="2"/>
  <c r="AF75" i="2" s="1"/>
  <c r="P76" i="3" s="1"/>
  <c r="G75" i="2"/>
  <c r="F75" i="2"/>
  <c r="E71" i="2"/>
  <c r="D71" i="2"/>
  <c r="AF71" i="2" s="1"/>
  <c r="P72" i="3" s="1"/>
  <c r="G71" i="2"/>
  <c r="F71" i="2"/>
  <c r="E67" i="2"/>
  <c r="D67" i="2"/>
  <c r="AF67" i="2" s="1"/>
  <c r="P68" i="3" s="1"/>
  <c r="G67" i="2"/>
  <c r="F67" i="2"/>
  <c r="E63" i="2"/>
  <c r="D63" i="2"/>
  <c r="AF63" i="2" s="1"/>
  <c r="P64" i="3" s="1"/>
  <c r="G63" i="2"/>
  <c r="F63" i="2"/>
  <c r="E59" i="2"/>
  <c r="D59" i="2"/>
  <c r="AF59" i="2" s="1"/>
  <c r="P60" i="3" s="1"/>
  <c r="G59" i="2"/>
  <c r="F59" i="2"/>
  <c r="E55" i="2"/>
  <c r="D55" i="2"/>
  <c r="AF55" i="2" s="1"/>
  <c r="P56" i="3" s="1"/>
  <c r="G55" i="2"/>
  <c r="F55" i="2"/>
  <c r="E51" i="2"/>
  <c r="D51" i="2"/>
  <c r="AF51" i="2" s="1"/>
  <c r="P52" i="3" s="1"/>
  <c r="G51" i="2"/>
  <c r="F51" i="2"/>
  <c r="E47" i="2"/>
  <c r="D47" i="2"/>
  <c r="AF47" i="2" s="1"/>
  <c r="P48" i="3" s="1"/>
  <c r="G47" i="2"/>
  <c r="F47" i="2"/>
  <c r="E43" i="2"/>
  <c r="D43" i="2"/>
  <c r="AF43" i="2" s="1"/>
  <c r="P44" i="3" s="1"/>
  <c r="G43" i="2"/>
  <c r="F43" i="2"/>
  <c r="E39" i="2"/>
  <c r="D39" i="2"/>
  <c r="AF39" i="2" s="1"/>
  <c r="P40" i="3" s="1"/>
  <c r="G39" i="2"/>
  <c r="F39" i="2"/>
  <c r="E35" i="2"/>
  <c r="D35" i="2"/>
  <c r="AF35" i="2" s="1"/>
  <c r="P36" i="3" s="1"/>
  <c r="G35" i="2"/>
  <c r="F35" i="2"/>
  <c r="E31" i="2"/>
  <c r="D31" i="2"/>
  <c r="AF31" i="2" s="1"/>
  <c r="P32" i="3" s="1"/>
  <c r="G31" i="2"/>
  <c r="F31" i="2"/>
  <c r="E27" i="2"/>
  <c r="D27" i="2"/>
  <c r="AF27" i="2" s="1"/>
  <c r="P28" i="3" s="1"/>
  <c r="G27" i="2"/>
  <c r="F27" i="2"/>
  <c r="E23" i="2"/>
  <c r="D23" i="2"/>
  <c r="AF23" i="2" s="1"/>
  <c r="P24" i="3" s="1"/>
  <c r="G23" i="2"/>
  <c r="F23" i="2"/>
  <c r="E19" i="2"/>
  <c r="D19" i="2"/>
  <c r="AF19" i="2" s="1"/>
  <c r="P20" i="3" s="1"/>
  <c r="G19" i="2"/>
  <c r="F19" i="2"/>
  <c r="E15" i="2"/>
  <c r="D15" i="2"/>
  <c r="AF15" i="2" s="1"/>
  <c r="P16" i="3" s="1"/>
  <c r="F15" i="2"/>
  <c r="G15" i="2"/>
  <c r="D11" i="2"/>
  <c r="AF11" i="2" s="1"/>
  <c r="P12" i="3" s="1"/>
  <c r="G11" i="2"/>
  <c r="F11" i="2"/>
  <c r="E11" i="2"/>
  <c r="D7" i="2"/>
  <c r="AF7" i="2" s="1"/>
  <c r="P8" i="3" s="1"/>
  <c r="G7" i="2"/>
  <c r="F7" i="2"/>
  <c r="E7" i="2"/>
  <c r="F78" i="2"/>
  <c r="E78" i="2"/>
  <c r="D78" i="2"/>
  <c r="AF78" i="2" s="1"/>
  <c r="P79" i="3" s="1"/>
  <c r="G78" i="2"/>
  <c r="F74" i="2"/>
  <c r="E74" i="2"/>
  <c r="D74" i="2"/>
  <c r="AF74" i="2" s="1"/>
  <c r="P75" i="3" s="1"/>
  <c r="G74" i="2"/>
  <c r="F70" i="2"/>
  <c r="E70" i="2"/>
  <c r="D70" i="2"/>
  <c r="AF70" i="2" s="1"/>
  <c r="P71" i="3" s="1"/>
  <c r="G70" i="2"/>
  <c r="F66" i="2"/>
  <c r="E66" i="2"/>
  <c r="D66" i="2"/>
  <c r="AF66" i="2" s="1"/>
  <c r="P67" i="3" s="1"/>
  <c r="G66" i="2"/>
  <c r="F62" i="2"/>
  <c r="E62" i="2"/>
  <c r="D62" i="2"/>
  <c r="AF62" i="2" s="1"/>
  <c r="P63" i="3" s="1"/>
  <c r="G62" i="2"/>
  <c r="F58" i="2"/>
  <c r="E58" i="2"/>
  <c r="D58" i="2"/>
  <c r="AF58" i="2" s="1"/>
  <c r="P59" i="3" s="1"/>
  <c r="G58" i="2"/>
  <c r="F54" i="2"/>
  <c r="E54" i="2"/>
  <c r="D54" i="2"/>
  <c r="AF54" i="2" s="1"/>
  <c r="P55" i="3" s="1"/>
  <c r="G54" i="2"/>
  <c r="F50" i="2"/>
  <c r="E50" i="2"/>
  <c r="D50" i="2"/>
  <c r="AF50" i="2" s="1"/>
  <c r="P51" i="3" s="1"/>
  <c r="G50" i="2"/>
  <c r="F46" i="2"/>
  <c r="E46" i="2"/>
  <c r="D46" i="2"/>
  <c r="AF46" i="2" s="1"/>
  <c r="P47" i="3" s="1"/>
  <c r="G46" i="2"/>
  <c r="F42" i="2"/>
  <c r="E42" i="2"/>
  <c r="D42" i="2"/>
  <c r="AF42" i="2" s="1"/>
  <c r="P43" i="3" s="1"/>
  <c r="G42" i="2"/>
  <c r="F38" i="2"/>
  <c r="E38" i="2"/>
  <c r="D38" i="2"/>
  <c r="AF38" i="2" s="1"/>
  <c r="P39" i="3" s="1"/>
  <c r="G38" i="2"/>
  <c r="F34" i="2"/>
  <c r="E34" i="2"/>
  <c r="D34" i="2"/>
  <c r="AF34" i="2" s="1"/>
  <c r="P35" i="3" s="1"/>
  <c r="G34" i="2"/>
  <c r="F30" i="2"/>
  <c r="E30" i="2"/>
  <c r="D30" i="2"/>
  <c r="AF30" i="2" s="1"/>
  <c r="P31" i="3" s="1"/>
  <c r="G30" i="2"/>
  <c r="F26" i="2"/>
  <c r="E26" i="2"/>
  <c r="D26" i="2"/>
  <c r="AF26" i="2" s="1"/>
  <c r="P27" i="3" s="1"/>
  <c r="G26" i="2"/>
  <c r="F22" i="2"/>
  <c r="E22" i="2"/>
  <c r="D22" i="2"/>
  <c r="AF22" i="2" s="1"/>
  <c r="P23" i="3" s="1"/>
  <c r="G22" i="2"/>
  <c r="F18" i="2"/>
  <c r="E18" i="2"/>
  <c r="G18" i="2"/>
  <c r="D18" i="2"/>
  <c r="AF18" i="2" s="1"/>
  <c r="P19" i="3" s="1"/>
  <c r="F14" i="2"/>
  <c r="E14" i="2"/>
  <c r="G14" i="2"/>
  <c r="D14" i="2"/>
  <c r="AF14" i="2" s="1"/>
  <c r="P15" i="3" s="1"/>
  <c r="E10" i="2"/>
  <c r="D10" i="2"/>
  <c r="AF10" i="2" s="1"/>
  <c r="P11" i="3" s="1"/>
  <c r="G10" i="2"/>
  <c r="F10" i="2"/>
  <c r="E6" i="2"/>
  <c r="D6" i="2"/>
  <c r="AF6" i="2" s="1"/>
  <c r="P7" i="3" s="1"/>
  <c r="G6" i="2"/>
  <c r="F6" i="2"/>
  <c r="V79" i="2"/>
  <c r="AG79" i="2"/>
  <c r="Q80" i="3" s="1"/>
  <c r="V74" i="2"/>
  <c r="AG74" i="2"/>
  <c r="Q75" i="3" s="1"/>
  <c r="V70" i="2"/>
  <c r="AG70" i="2"/>
  <c r="Q71" i="3" s="1"/>
  <c r="V66" i="2"/>
  <c r="AG66" i="2"/>
  <c r="Q67" i="3" s="1"/>
  <c r="V62" i="2"/>
  <c r="AG62" i="2"/>
  <c r="Q63" i="3" s="1"/>
  <c r="V58" i="2"/>
  <c r="AG58" i="2"/>
  <c r="Q59" i="3" s="1"/>
  <c r="V54" i="2"/>
  <c r="AG54" i="2"/>
  <c r="Q55" i="3" s="1"/>
  <c r="V50" i="2"/>
  <c r="AG50" i="2"/>
  <c r="Q51" i="3" s="1"/>
  <c r="V46" i="2"/>
  <c r="AG46" i="2"/>
  <c r="Q47" i="3" s="1"/>
  <c r="V42" i="2"/>
  <c r="AG42" i="2"/>
  <c r="Q43" i="3" s="1"/>
  <c r="V38" i="2"/>
  <c r="AG38" i="2"/>
  <c r="Q39" i="3" s="1"/>
  <c r="V34" i="2"/>
  <c r="AG34" i="2"/>
  <c r="Q35" i="3" s="1"/>
  <c r="V30" i="2"/>
  <c r="AG30" i="2"/>
  <c r="Q31" i="3" s="1"/>
  <c r="V26" i="2"/>
  <c r="AG26" i="2"/>
  <c r="Q27" i="3" s="1"/>
  <c r="V22" i="2"/>
  <c r="AG22" i="2"/>
  <c r="Q23" i="3" s="1"/>
  <c r="V18" i="2"/>
  <c r="AG18" i="2"/>
  <c r="Q19" i="3" s="1"/>
  <c r="V14" i="2"/>
  <c r="AG14" i="2"/>
  <c r="Q15" i="3" s="1"/>
  <c r="V10" i="2"/>
  <c r="AG10" i="2"/>
  <c r="Q11" i="3" s="1"/>
  <c r="V6" i="2"/>
  <c r="AG6" i="2"/>
  <c r="Q7" i="3" s="1"/>
  <c r="V75" i="2"/>
  <c r="AG75" i="2"/>
  <c r="Q76" i="3" s="1"/>
  <c r="V78" i="2"/>
  <c r="AG78" i="2"/>
  <c r="Q79" i="3" s="1"/>
  <c r="V3" i="2"/>
  <c r="AG3" i="2"/>
  <c r="Q4" i="3" s="1"/>
  <c r="V77" i="2"/>
  <c r="AG77" i="2"/>
  <c r="Q78" i="3" s="1"/>
  <c r="V73" i="2"/>
  <c r="AG73" i="2"/>
  <c r="Q74" i="3" s="1"/>
  <c r="V69" i="2"/>
  <c r="AG69" i="2"/>
  <c r="Q70" i="3" s="1"/>
  <c r="V65" i="2"/>
  <c r="AG65" i="2"/>
  <c r="Q66" i="3" s="1"/>
  <c r="V61" i="2"/>
  <c r="AG61" i="2"/>
  <c r="Q62" i="3" s="1"/>
  <c r="V57" i="2"/>
  <c r="AG57" i="2"/>
  <c r="Q58" i="3" s="1"/>
  <c r="V53" i="2"/>
  <c r="AG53" i="2"/>
  <c r="Q54" i="3" s="1"/>
  <c r="V49" i="2"/>
  <c r="AG49" i="2"/>
  <c r="Q50" i="3" s="1"/>
  <c r="V45" i="2"/>
  <c r="AG45" i="2"/>
  <c r="Q46" i="3" s="1"/>
  <c r="V41" i="2"/>
  <c r="AG41" i="2"/>
  <c r="Q42" i="3" s="1"/>
  <c r="V37" i="2"/>
  <c r="AG37" i="2"/>
  <c r="Q38" i="3" s="1"/>
  <c r="V33" i="2"/>
  <c r="AG33" i="2"/>
  <c r="Q34" i="3" s="1"/>
  <c r="V29" i="2"/>
  <c r="AG29" i="2"/>
  <c r="Q30" i="3" s="1"/>
  <c r="V25" i="2"/>
  <c r="AG25" i="2"/>
  <c r="Q26" i="3" s="1"/>
  <c r="V21" i="2"/>
  <c r="AG21" i="2"/>
  <c r="Q22" i="3" s="1"/>
  <c r="V17" i="2"/>
  <c r="AG17" i="2"/>
  <c r="Q18" i="3" s="1"/>
  <c r="V13" i="2"/>
  <c r="AG13" i="2"/>
  <c r="Q14" i="3" s="1"/>
  <c r="V9" i="2"/>
  <c r="AG9" i="2"/>
  <c r="Q10" i="3" s="1"/>
  <c r="V5" i="2"/>
  <c r="AG5" i="2"/>
  <c r="Q6" i="3" s="1"/>
  <c r="V80" i="2"/>
  <c r="AG80" i="2"/>
  <c r="Q81" i="3" s="1"/>
  <c r="V76" i="2"/>
  <c r="AG76" i="2"/>
  <c r="Q77" i="3" s="1"/>
  <c r="V72" i="2"/>
  <c r="AG72" i="2"/>
  <c r="Q73" i="3" s="1"/>
  <c r="V68" i="2"/>
  <c r="AG68" i="2"/>
  <c r="Q69" i="3" s="1"/>
  <c r="V64" i="2"/>
  <c r="AG64" i="2"/>
  <c r="Q65" i="3" s="1"/>
  <c r="V60" i="2"/>
  <c r="AG60" i="2"/>
  <c r="Q61" i="3" s="1"/>
  <c r="V56" i="2"/>
  <c r="AG56" i="2"/>
  <c r="Q57" i="3" s="1"/>
  <c r="V52" i="2"/>
  <c r="AG52" i="2"/>
  <c r="Q53" i="3" s="1"/>
  <c r="V48" i="2"/>
  <c r="AG48" i="2"/>
  <c r="Q49" i="3" s="1"/>
  <c r="V44" i="2"/>
  <c r="AG44" i="2"/>
  <c r="Q45" i="3" s="1"/>
  <c r="V40" i="2"/>
  <c r="AG40" i="2"/>
  <c r="Q41" i="3" s="1"/>
  <c r="V36" i="2"/>
  <c r="AG36" i="2"/>
  <c r="Q37" i="3" s="1"/>
  <c r="V32" i="2"/>
  <c r="AG32" i="2"/>
  <c r="Q33" i="3" s="1"/>
  <c r="V28" i="2"/>
  <c r="V24" i="2"/>
  <c r="AG24" i="2"/>
  <c r="Q25" i="3" s="1"/>
  <c r="V20" i="2"/>
  <c r="AG20" i="2"/>
  <c r="Q21" i="3" s="1"/>
  <c r="V16" i="2"/>
  <c r="AG16" i="2"/>
  <c r="Q17" i="3" s="1"/>
  <c r="V12" i="2"/>
  <c r="AG12" i="2"/>
  <c r="Q13" i="3" s="1"/>
  <c r="V8" i="2"/>
  <c r="AG8" i="2"/>
  <c r="Q9" i="3" s="1"/>
  <c r="V4" i="2"/>
  <c r="AG4" i="2"/>
  <c r="Q5" i="3" s="1"/>
  <c r="V71" i="2"/>
  <c r="AG71" i="2"/>
  <c r="Q72" i="3" s="1"/>
  <c r="V67" i="2"/>
  <c r="AG67" i="2"/>
  <c r="Q68" i="3" s="1"/>
  <c r="V63" i="2"/>
  <c r="AG63" i="2"/>
  <c r="Q64" i="3" s="1"/>
  <c r="V59" i="2"/>
  <c r="AG59" i="2"/>
  <c r="Q60" i="3" s="1"/>
  <c r="V55" i="2"/>
  <c r="AG55" i="2"/>
  <c r="Q56" i="3" s="1"/>
  <c r="V51" i="2"/>
  <c r="AG51" i="2"/>
  <c r="Q52" i="3" s="1"/>
  <c r="V47" i="2"/>
  <c r="AG47" i="2"/>
  <c r="Q48" i="3" s="1"/>
  <c r="V43" i="2"/>
  <c r="AG43" i="2"/>
  <c r="Q44" i="3" s="1"/>
  <c r="V39" i="2"/>
  <c r="AG39" i="2"/>
  <c r="Q40" i="3" s="1"/>
  <c r="V35" i="2"/>
  <c r="AG35" i="2"/>
  <c r="Q36" i="3" s="1"/>
  <c r="V31" i="2"/>
  <c r="AG31" i="2"/>
  <c r="Q32" i="3" s="1"/>
  <c r="V27" i="2"/>
  <c r="AG27" i="2"/>
  <c r="Q28" i="3" s="1"/>
  <c r="V23" i="2"/>
  <c r="AG23" i="2"/>
  <c r="Q24" i="3" s="1"/>
  <c r="V19" i="2"/>
  <c r="AG19" i="2"/>
  <c r="Q20" i="3" s="1"/>
  <c r="V15" i="2"/>
  <c r="AG15" i="2"/>
  <c r="Q16" i="3" s="1"/>
  <c r="V11" i="2"/>
  <c r="AG11" i="2"/>
  <c r="Q12" i="3" s="1"/>
  <c r="V7" i="2"/>
  <c r="AG7" i="2"/>
  <c r="Q8" i="3" s="1"/>
  <c r="U79" i="2"/>
  <c r="W79" i="2"/>
  <c r="U75" i="2"/>
  <c r="W75" i="2"/>
  <c r="U71" i="2"/>
  <c r="W71" i="2"/>
  <c r="U67" i="2"/>
  <c r="W67" i="2"/>
  <c r="U63" i="2"/>
  <c r="W63" i="2"/>
  <c r="U59" i="2"/>
  <c r="W59" i="2"/>
  <c r="U55" i="2"/>
  <c r="W55" i="2"/>
  <c r="U51" i="2"/>
  <c r="W51" i="2"/>
  <c r="U47" i="2"/>
  <c r="W47" i="2"/>
  <c r="U43" i="2"/>
  <c r="W43" i="2"/>
  <c r="U39" i="2"/>
  <c r="W39" i="2"/>
  <c r="U35" i="2"/>
  <c r="W35" i="2"/>
  <c r="U31" i="2"/>
  <c r="W31" i="2"/>
  <c r="U27" i="2"/>
  <c r="W27" i="2"/>
  <c r="U23" i="2"/>
  <c r="W23" i="2"/>
  <c r="U19" i="2"/>
  <c r="W19" i="2"/>
  <c r="U15" i="2"/>
  <c r="W15" i="2"/>
  <c r="U11" i="2"/>
  <c r="W11" i="2"/>
  <c r="U7" i="2"/>
  <c r="W7" i="2"/>
  <c r="U78" i="2"/>
  <c r="W78" i="2"/>
  <c r="U74" i="2"/>
  <c r="W74" i="2"/>
  <c r="U70" i="2"/>
  <c r="W70" i="2"/>
  <c r="U66" i="2"/>
  <c r="W66" i="2"/>
  <c r="U62" i="2"/>
  <c r="W62" i="2"/>
  <c r="U58" i="2"/>
  <c r="W58" i="2"/>
  <c r="U54" i="2"/>
  <c r="W54" i="2"/>
  <c r="U50" i="2"/>
  <c r="W50" i="2"/>
  <c r="U46" i="2"/>
  <c r="W46" i="2"/>
  <c r="U42" i="2"/>
  <c r="W42" i="2"/>
  <c r="U38" i="2"/>
  <c r="W38" i="2"/>
  <c r="U34" i="2"/>
  <c r="W34" i="2"/>
  <c r="U30" i="2"/>
  <c r="W30" i="2"/>
  <c r="U26" i="2"/>
  <c r="W26" i="2"/>
  <c r="U22" i="2"/>
  <c r="W22" i="2"/>
  <c r="U18" i="2"/>
  <c r="W18" i="2"/>
  <c r="U14" i="2"/>
  <c r="W14" i="2"/>
  <c r="U10" i="2"/>
  <c r="W10" i="2"/>
  <c r="U6" i="2"/>
  <c r="W6" i="2"/>
  <c r="W3" i="2"/>
  <c r="U3" i="2"/>
  <c r="W77" i="2"/>
  <c r="U77" i="2"/>
  <c r="W73" i="2"/>
  <c r="U73" i="2"/>
  <c r="W69" i="2"/>
  <c r="U69" i="2"/>
  <c r="W65" i="2"/>
  <c r="U65" i="2"/>
  <c r="W61" i="2"/>
  <c r="U61" i="2"/>
  <c r="W57" i="2"/>
  <c r="U57" i="2"/>
  <c r="W53" i="2"/>
  <c r="U53" i="2"/>
  <c r="W49" i="2"/>
  <c r="U49" i="2"/>
  <c r="W45" i="2"/>
  <c r="U45" i="2"/>
  <c r="W41" i="2"/>
  <c r="U41" i="2"/>
  <c r="W37" i="2"/>
  <c r="U37" i="2"/>
  <c r="W33" i="2"/>
  <c r="U33" i="2"/>
  <c r="W29" i="2"/>
  <c r="U29" i="2"/>
  <c r="W25" i="2"/>
  <c r="U25" i="2"/>
  <c r="W21" i="2"/>
  <c r="U21" i="2"/>
  <c r="W17" i="2"/>
  <c r="U17" i="2"/>
  <c r="W13" i="2"/>
  <c r="U13" i="2"/>
  <c r="W9" i="2"/>
  <c r="U9" i="2"/>
  <c r="W5" i="2"/>
  <c r="U5" i="2"/>
  <c r="W80" i="2"/>
  <c r="U80" i="2"/>
  <c r="W76" i="2"/>
  <c r="U76" i="2"/>
  <c r="W72" i="2"/>
  <c r="U72" i="2"/>
  <c r="W68" i="2"/>
  <c r="U68" i="2"/>
  <c r="W64" i="2"/>
  <c r="U64" i="2"/>
  <c r="W60" i="2"/>
  <c r="U60" i="2"/>
  <c r="W56" i="2"/>
  <c r="U56" i="2"/>
  <c r="W52" i="2"/>
  <c r="U52" i="2"/>
  <c r="W48" i="2"/>
  <c r="U48" i="2"/>
  <c r="W44" i="2"/>
  <c r="U44" i="2"/>
  <c r="W40" i="2"/>
  <c r="U40" i="2"/>
  <c r="W36" i="2"/>
  <c r="U36" i="2"/>
  <c r="W32" i="2"/>
  <c r="U32" i="2"/>
  <c r="W28" i="2"/>
  <c r="U28" i="2"/>
  <c r="W24" i="2"/>
  <c r="U24" i="2"/>
  <c r="W20" i="2"/>
  <c r="U20" i="2"/>
  <c r="W16" i="2"/>
  <c r="U16" i="2"/>
  <c r="W12" i="2"/>
  <c r="U12" i="2"/>
  <c r="W8" i="2"/>
  <c r="U8" i="2"/>
  <c r="W4" i="2"/>
  <c r="U4" i="2"/>
  <c r="AF72" i="2"/>
  <c r="P73" i="3" s="1"/>
  <c r="AG28" i="2" l="1"/>
  <c r="Q29" i="3" s="1"/>
  <c r="C31" i="3"/>
  <c r="AF3" i="2"/>
  <c r="P4" i="3" s="1"/>
  <c r="V81" i="2"/>
  <c r="U81" i="2"/>
  <c r="W81" i="2"/>
  <c r="F87" i="2" l="1"/>
  <c r="G88" i="2"/>
  <c r="G87" i="2"/>
  <c r="E88" i="2"/>
  <c r="E87" i="2"/>
  <c r="F88" i="2"/>
  <c r="G86" i="2"/>
  <c r="E86" i="2"/>
  <c r="F86" i="2"/>
  <c r="G85" i="2"/>
  <c r="G82" i="2"/>
  <c r="G83" i="2"/>
  <c r="F85" i="2"/>
  <c r="F82" i="2"/>
  <c r="E83" i="2"/>
  <c r="E85" i="2"/>
  <c r="E82" i="2"/>
  <c r="F83" i="2"/>
  <c r="J4" i="2" l="1"/>
  <c r="J61" i="2"/>
  <c r="H29" i="2"/>
  <c r="I5" i="2"/>
  <c r="J64" i="2"/>
  <c r="J9" i="2"/>
  <c r="J44" i="2"/>
  <c r="I7" i="2"/>
  <c r="H45" i="2"/>
  <c r="I69" i="2"/>
  <c r="H46" i="2"/>
  <c r="H26" i="2"/>
  <c r="J55" i="2"/>
  <c r="J39" i="2"/>
  <c r="J53" i="2"/>
  <c r="I80" i="2"/>
  <c r="H69" i="2"/>
  <c r="I56" i="2"/>
  <c r="H74" i="2"/>
  <c r="H18" i="2"/>
  <c r="H16" i="2"/>
  <c r="H3" i="2"/>
  <c r="I53" i="2"/>
  <c r="I78" i="2"/>
  <c r="J76" i="2"/>
  <c r="J40" i="2"/>
  <c r="J27" i="2"/>
  <c r="J54" i="2"/>
  <c r="I39" i="2"/>
  <c r="H41" i="2"/>
  <c r="I27" i="2"/>
  <c r="H54" i="2"/>
  <c r="H63" i="2"/>
  <c r="H27" i="2"/>
  <c r="H4" i="2"/>
  <c r="I40" i="2"/>
  <c r="I60" i="2"/>
  <c r="I43" i="2"/>
  <c r="I76" i="2"/>
  <c r="J60" i="2"/>
  <c r="J26" i="2"/>
  <c r="J77" i="2"/>
  <c r="H65" i="2"/>
  <c r="I24" i="2"/>
  <c r="I75" i="2"/>
  <c r="I19" i="2"/>
  <c r="H50" i="2"/>
  <c r="H59" i="2"/>
  <c r="H6" i="2"/>
  <c r="H30" i="2"/>
  <c r="I26" i="2"/>
  <c r="H57" i="2"/>
  <c r="H71" i="2"/>
  <c r="H19" i="2"/>
  <c r="I37" i="2"/>
  <c r="J11" i="2"/>
  <c r="J65" i="2"/>
  <c r="J73" i="2"/>
  <c r="J16" i="2"/>
  <c r="I4" i="2"/>
  <c r="I61" i="2"/>
  <c r="I11" i="2"/>
  <c r="H55" i="2"/>
  <c r="J52" i="2"/>
  <c r="J71" i="2"/>
  <c r="J41" i="2"/>
  <c r="J59" i="2"/>
  <c r="I59" i="2"/>
  <c r="H22" i="2"/>
  <c r="I35" i="2"/>
  <c r="H58" i="2"/>
  <c r="H67" i="2"/>
  <c r="H12" i="2"/>
  <c r="H15" i="2"/>
  <c r="I58" i="2"/>
  <c r="I49" i="2"/>
  <c r="J42" i="2"/>
  <c r="J19" i="2"/>
  <c r="J79" i="2"/>
  <c r="I41" i="2"/>
  <c r="I45" i="2"/>
  <c r="I68" i="2"/>
  <c r="H76" i="2"/>
  <c r="H9" i="2"/>
  <c r="H47" i="2"/>
  <c r="H17" i="2"/>
  <c r="H80" i="2"/>
  <c r="I30" i="2"/>
  <c r="I77" i="2"/>
  <c r="I25" i="2"/>
  <c r="I22" i="2"/>
  <c r="J30" i="2"/>
  <c r="J51" i="2"/>
  <c r="I44" i="2"/>
  <c r="I48" i="2"/>
  <c r="I42" i="2"/>
  <c r="H64" i="2"/>
  <c r="H32" i="2"/>
  <c r="H43" i="2"/>
  <c r="H31" i="2"/>
  <c r="I63" i="2"/>
  <c r="I10" i="2"/>
  <c r="H78" i="2"/>
  <c r="H39" i="2"/>
  <c r="I55" i="2"/>
  <c r="I21" i="2"/>
  <c r="J58" i="2"/>
  <c r="J68" i="2"/>
  <c r="J24" i="2"/>
  <c r="J63" i="2"/>
  <c r="J66" i="2"/>
  <c r="J3" i="2"/>
  <c r="J20" i="2"/>
  <c r="J43" i="2"/>
  <c r="J38" i="2"/>
  <c r="J49" i="2"/>
  <c r="J57" i="2"/>
  <c r="J78" i="2"/>
  <c r="J69" i="2"/>
  <c r="J46" i="2"/>
  <c r="J15" i="2"/>
  <c r="J17" i="2"/>
  <c r="J6" i="2"/>
  <c r="J31" i="2"/>
  <c r="J8" i="2"/>
  <c r="J74" i="2"/>
  <c r="J22" i="2"/>
  <c r="J13" i="2"/>
  <c r="J67" i="2"/>
  <c r="J70" i="2"/>
  <c r="J10" i="2"/>
  <c r="J32" i="2"/>
  <c r="H49" i="2"/>
  <c r="I67" i="2"/>
  <c r="I36" i="2"/>
  <c r="H52" i="2"/>
  <c r="H38" i="2"/>
  <c r="J75" i="2"/>
  <c r="J48" i="2"/>
  <c r="J18" i="2"/>
  <c r="J21" i="2"/>
  <c r="I74" i="2"/>
  <c r="I57" i="2"/>
  <c r="I8" i="2"/>
  <c r="H42" i="2"/>
  <c r="H51" i="2"/>
  <c r="H37" i="2"/>
  <c r="H8" i="2"/>
  <c r="I34" i="2"/>
  <c r="I52" i="2"/>
  <c r="J23" i="2"/>
  <c r="J45" i="2"/>
  <c r="J47" i="2"/>
  <c r="H28" i="2"/>
  <c r="H77" i="2"/>
  <c r="I20" i="2"/>
  <c r="H40" i="2"/>
  <c r="H60" i="2"/>
  <c r="H25" i="2"/>
  <c r="H35" i="2"/>
  <c r="I71" i="2"/>
  <c r="I14" i="2"/>
  <c r="I29" i="2"/>
  <c r="I9" i="2"/>
  <c r="I72" i="2"/>
  <c r="J7" i="2"/>
  <c r="J29" i="2"/>
  <c r="J80" i="2"/>
  <c r="I73" i="2"/>
  <c r="H73" i="2"/>
  <c r="I12" i="2"/>
  <c r="H11" i="2"/>
  <c r="H56" i="2"/>
  <c r="H23" i="2"/>
  <c r="H24" i="2"/>
  <c r="I47" i="2"/>
  <c r="I70" i="2"/>
  <c r="H72" i="2"/>
  <c r="H34" i="2"/>
  <c r="I38" i="2"/>
  <c r="I64" i="2"/>
  <c r="J14" i="2"/>
  <c r="J37" i="2"/>
  <c r="J28" i="2"/>
  <c r="I31" i="2"/>
  <c r="I32" i="2"/>
  <c r="I3" i="2"/>
  <c r="H62" i="2"/>
  <c r="H21" i="2"/>
  <c r="J50" i="2"/>
  <c r="J35" i="2"/>
  <c r="J5" i="2"/>
  <c r="I15" i="2"/>
  <c r="I16" i="2"/>
  <c r="I28" i="2"/>
  <c r="H48" i="2"/>
  <c r="H68" i="2"/>
  <c r="H7" i="2"/>
  <c r="H10" i="2"/>
  <c r="I79" i="2"/>
  <c r="I18" i="2"/>
  <c r="I33" i="2"/>
  <c r="J34" i="2"/>
  <c r="J72" i="2"/>
  <c r="J36" i="2"/>
  <c r="J12" i="2"/>
  <c r="I46" i="2"/>
  <c r="H53" i="2"/>
  <c r="I51" i="2"/>
  <c r="H70" i="2"/>
  <c r="H79" i="2"/>
  <c r="H13" i="2"/>
  <c r="H33" i="2"/>
  <c r="I65" i="2"/>
  <c r="I54" i="2"/>
  <c r="I13" i="2"/>
  <c r="H14" i="2"/>
  <c r="J62" i="2"/>
  <c r="J56" i="2"/>
  <c r="J25" i="2"/>
  <c r="J33" i="2"/>
  <c r="I23" i="2"/>
  <c r="H61" i="2"/>
  <c r="I66" i="2"/>
  <c r="H66" i="2"/>
  <c r="H75" i="2"/>
  <c r="H5" i="2"/>
  <c r="H36" i="2"/>
  <c r="I62" i="2"/>
  <c r="I50" i="2"/>
  <c r="H44" i="2"/>
  <c r="H20" i="2"/>
  <c r="I6" i="2"/>
  <c r="I17" i="2"/>
  <c r="G84" i="2"/>
  <c r="E84" i="2"/>
  <c r="F84" i="2"/>
  <c r="H82" i="2" l="1"/>
  <c r="H87" i="2"/>
  <c r="H83" i="2"/>
  <c r="H86" i="2"/>
  <c r="H85" i="2"/>
  <c r="H88" i="2"/>
  <c r="I83" i="2"/>
  <c r="I87" i="2"/>
  <c r="I86" i="2"/>
  <c r="I82" i="2"/>
  <c r="I85" i="2"/>
  <c r="I88" i="2"/>
  <c r="J82" i="2"/>
  <c r="J85" i="2"/>
  <c r="J88" i="2"/>
  <c r="J87" i="2"/>
  <c r="J83" i="2"/>
  <c r="J86" i="2"/>
  <c r="M4" i="2" l="1"/>
  <c r="L66" i="2"/>
  <c r="J84" i="2"/>
  <c r="M76" i="2"/>
  <c r="L75" i="2"/>
  <c r="M42" i="2"/>
  <c r="L63" i="2"/>
  <c r="M57" i="2"/>
  <c r="M21" i="2"/>
  <c r="L72" i="2"/>
  <c r="L3" i="2"/>
  <c r="L46" i="2"/>
  <c r="M25" i="2"/>
  <c r="L56" i="2"/>
  <c r="L19" i="2"/>
  <c r="L35" i="2"/>
  <c r="L44" i="2"/>
  <c r="M43" i="2"/>
  <c r="M70" i="2"/>
  <c r="L52" i="2"/>
  <c r="L53" i="2"/>
  <c r="L26" i="2"/>
  <c r="L58" i="2"/>
  <c r="M58" i="2"/>
  <c r="M6" i="2"/>
  <c r="M48" i="2"/>
  <c r="L73" i="2"/>
  <c r="L15" i="2"/>
  <c r="M33" i="2"/>
  <c r="L65" i="2"/>
  <c r="M5" i="2"/>
  <c r="L7" i="2"/>
  <c r="L40" i="2"/>
  <c r="L4" i="2"/>
  <c r="L41" i="2"/>
  <c r="M68" i="2"/>
  <c r="M31" i="2"/>
  <c r="L8" i="2"/>
  <c r="M7" i="2"/>
  <c r="L16" i="2"/>
  <c r="L17" i="2"/>
  <c r="M61" i="2"/>
  <c r="L39" i="2"/>
  <c r="M65" i="2"/>
  <c r="L45" i="2"/>
  <c r="L55" i="2"/>
  <c r="M15" i="2"/>
  <c r="L34" i="2"/>
  <c r="M29" i="2"/>
  <c r="M35" i="2"/>
  <c r="L54" i="2"/>
  <c r="M9" i="2"/>
  <c r="M40" i="2"/>
  <c r="M73" i="2"/>
  <c r="M19" i="2"/>
  <c r="L10" i="2"/>
  <c r="M78" i="2"/>
  <c r="L67" i="2"/>
  <c r="L14" i="2"/>
  <c r="M27" i="2"/>
  <c r="L37" i="2"/>
  <c r="M79" i="2"/>
  <c r="M66" i="2"/>
  <c r="M22" i="2"/>
  <c r="L57" i="2"/>
  <c r="L70" i="2"/>
  <c r="L18" i="2"/>
  <c r="L62" i="2"/>
  <c r="L50" i="2"/>
  <c r="M72" i="2"/>
  <c r="L80" i="2"/>
  <c r="M60" i="2"/>
  <c r="M52" i="2"/>
  <c r="L30" i="2"/>
  <c r="M3" i="2"/>
  <c r="M13" i="2"/>
  <c r="M45" i="2"/>
  <c r="M14" i="2"/>
  <c r="L33" i="2"/>
  <c r="L47" i="2"/>
  <c r="I84" i="2"/>
  <c r="K78" i="2"/>
  <c r="K74" i="2"/>
  <c r="K70" i="2"/>
  <c r="K66" i="2"/>
  <c r="K62" i="2"/>
  <c r="K58" i="2"/>
  <c r="K54" i="2"/>
  <c r="K50" i="2"/>
  <c r="K46" i="2"/>
  <c r="K42" i="2"/>
  <c r="K38" i="2"/>
  <c r="K34" i="2"/>
  <c r="K30" i="2"/>
  <c r="K18" i="2"/>
  <c r="K6" i="2"/>
  <c r="K77" i="2"/>
  <c r="K73" i="2"/>
  <c r="K69" i="2"/>
  <c r="K65" i="2"/>
  <c r="K61" i="2"/>
  <c r="K57" i="2"/>
  <c r="K53" i="2"/>
  <c r="K49" i="2"/>
  <c r="K45" i="2"/>
  <c r="K41" i="2"/>
  <c r="K37" i="2"/>
  <c r="K33" i="2"/>
  <c r="K29" i="2"/>
  <c r="K25" i="2"/>
  <c r="K21" i="2"/>
  <c r="K17" i="2"/>
  <c r="K13" i="2"/>
  <c r="K9" i="2"/>
  <c r="K5" i="2"/>
  <c r="K80" i="2"/>
  <c r="K76" i="2"/>
  <c r="K72" i="2"/>
  <c r="K68" i="2"/>
  <c r="K64" i="2"/>
  <c r="K60" i="2"/>
  <c r="K56" i="2"/>
  <c r="K52" i="2"/>
  <c r="K48" i="2"/>
  <c r="K44" i="2"/>
  <c r="K40" i="2"/>
  <c r="K36" i="2"/>
  <c r="K32" i="2"/>
  <c r="K28" i="2"/>
  <c r="K24" i="2"/>
  <c r="K20" i="2"/>
  <c r="K16" i="2"/>
  <c r="K12" i="2"/>
  <c r="K8" i="2"/>
  <c r="K4" i="2"/>
  <c r="K22" i="2"/>
  <c r="K10" i="2"/>
  <c r="K79" i="2"/>
  <c r="K75" i="2"/>
  <c r="K71" i="2"/>
  <c r="K67" i="2"/>
  <c r="K63" i="2"/>
  <c r="K59" i="2"/>
  <c r="K55" i="2"/>
  <c r="K51" i="2"/>
  <c r="K47" i="2"/>
  <c r="K43" i="2"/>
  <c r="K39" i="2"/>
  <c r="K35" i="2"/>
  <c r="K31" i="2"/>
  <c r="K27" i="2"/>
  <c r="K23" i="2"/>
  <c r="K19" i="2"/>
  <c r="K15" i="2"/>
  <c r="K11" i="2"/>
  <c r="K7" i="2"/>
  <c r="K3" i="2"/>
  <c r="K26" i="2"/>
  <c r="K14" i="2"/>
  <c r="H84" i="2"/>
  <c r="M64" i="2"/>
  <c r="L60" i="2"/>
  <c r="L61" i="2"/>
  <c r="L77" i="2"/>
  <c r="M24" i="2"/>
  <c r="M8" i="2"/>
  <c r="M47" i="2"/>
  <c r="L12" i="2"/>
  <c r="L28" i="2"/>
  <c r="M56" i="2"/>
  <c r="L69" i="2"/>
  <c r="L43" i="2"/>
  <c r="L11" i="2"/>
  <c r="L68" i="2"/>
  <c r="L21" i="2"/>
  <c r="M17" i="2"/>
  <c r="M75" i="2"/>
  <c r="M44" i="2"/>
  <c r="L27" i="2"/>
  <c r="M16" i="2"/>
  <c r="N16" i="2" s="1"/>
  <c r="L22" i="2"/>
  <c r="M38" i="2"/>
  <c r="M10" i="2"/>
  <c r="M23" i="2"/>
  <c r="L64" i="2"/>
  <c r="M36" i="2"/>
  <c r="L6" i="2"/>
  <c r="M80" i="2"/>
  <c r="L13" i="2"/>
  <c r="L78" i="2"/>
  <c r="L24" i="2"/>
  <c r="L59" i="2"/>
  <c r="M30" i="2"/>
  <c r="M49" i="2"/>
  <c r="M32" i="2"/>
  <c r="L20" i="2"/>
  <c r="L32" i="2"/>
  <c r="M62" i="2"/>
  <c r="L79" i="2"/>
  <c r="M55" i="2"/>
  <c r="M26" i="2"/>
  <c r="M71" i="2"/>
  <c r="M51" i="2"/>
  <c r="M20" i="2"/>
  <c r="M67" i="2"/>
  <c r="L71" i="2"/>
  <c r="M37" i="2"/>
  <c r="M34" i="2"/>
  <c r="L38" i="2"/>
  <c r="M39" i="2"/>
  <c r="M77" i="2"/>
  <c r="M41" i="2"/>
  <c r="L25" i="2"/>
  <c r="M63" i="2"/>
  <c r="M74" i="2"/>
  <c r="L74" i="2"/>
  <c r="M53" i="2"/>
  <c r="L76" i="2"/>
  <c r="M59" i="2"/>
  <c r="L48" i="2"/>
  <c r="M69" i="2"/>
  <c r="L36" i="2"/>
  <c r="L29" i="2"/>
  <c r="L31" i="2"/>
  <c r="L51" i="2"/>
  <c r="M12" i="2"/>
  <c r="M28" i="2"/>
  <c r="L5" i="2"/>
  <c r="M54" i="2"/>
  <c r="M11" i="2"/>
  <c r="L49" i="2"/>
  <c r="L42" i="2"/>
  <c r="M46" i="2"/>
  <c r="M18" i="2"/>
  <c r="L9" i="2"/>
  <c r="M50" i="2"/>
  <c r="L23" i="2"/>
  <c r="N13" i="2" l="1"/>
  <c r="N45" i="2"/>
  <c r="N72" i="2"/>
  <c r="N23" i="2"/>
  <c r="N34" i="2"/>
  <c r="N17" i="2"/>
  <c r="N22" i="2"/>
  <c r="N80" i="2"/>
  <c r="N33" i="2"/>
  <c r="N50" i="2"/>
  <c r="N28" i="2"/>
  <c r="N29" i="2"/>
  <c r="N59" i="2"/>
  <c r="N74" i="2"/>
  <c r="N77" i="2"/>
  <c r="N37" i="2"/>
  <c r="N32" i="2"/>
  <c r="N6" i="2"/>
  <c r="N10" i="2"/>
  <c r="N27" i="2"/>
  <c r="N21" i="2"/>
  <c r="N75" i="2"/>
  <c r="N52" i="2"/>
  <c r="N58" i="2"/>
  <c r="N66" i="2"/>
  <c r="N12" i="2"/>
  <c r="N76" i="2"/>
  <c r="N62" i="2"/>
  <c r="N78" i="2"/>
  <c r="N38" i="2"/>
  <c r="N44" i="2"/>
  <c r="N60" i="2"/>
  <c r="N26" i="2"/>
  <c r="N40" i="2"/>
  <c r="N57" i="2"/>
  <c r="N65" i="2"/>
  <c r="N54" i="2"/>
  <c r="N7" i="2"/>
  <c r="N19" i="2"/>
  <c r="N3" i="2"/>
  <c r="N18" i="2"/>
  <c r="N68" i="2"/>
  <c r="N15" i="2"/>
  <c r="N73" i="2"/>
  <c r="N11" i="2"/>
  <c r="N39" i="2"/>
  <c r="N70" i="2"/>
  <c r="N71" i="2"/>
  <c r="N9" i="2"/>
  <c r="N79" i="2"/>
  <c r="N51" i="2"/>
  <c r="N47" i="2"/>
  <c r="N46" i="2"/>
  <c r="N20" i="2"/>
  <c r="N48" i="2"/>
  <c r="N53" i="2"/>
  <c r="N25" i="2"/>
  <c r="N41" i="2"/>
  <c r="N30" i="2"/>
  <c r="N67" i="2"/>
  <c r="N35" i="2"/>
  <c r="N55" i="2"/>
  <c r="N14" i="2"/>
  <c r="N42" i="2"/>
  <c r="L88" i="2"/>
  <c r="K82" i="2"/>
  <c r="N56" i="2"/>
  <c r="N43" i="2"/>
  <c r="N63" i="2"/>
  <c r="K86" i="2"/>
  <c r="K83" i="2"/>
  <c r="K85" i="2"/>
  <c r="N8" i="2"/>
  <c r="N49" i="2"/>
  <c r="N24" i="2"/>
  <c r="N61" i="2"/>
  <c r="K88" i="2"/>
  <c r="N36" i="2"/>
  <c r="N69" i="2"/>
  <c r="M83" i="2"/>
  <c r="L82" i="2"/>
  <c r="L85" i="2"/>
  <c r="M85" i="2"/>
  <c r="M86" i="2"/>
  <c r="L87" i="2"/>
  <c r="K87" i="2"/>
  <c r="N4" i="2"/>
  <c r="L86" i="2"/>
  <c r="N31" i="2"/>
  <c r="M88" i="2"/>
  <c r="M87" i="2"/>
  <c r="L83" i="2"/>
  <c r="M82" i="2"/>
  <c r="N5" i="2"/>
  <c r="N64" i="2"/>
  <c r="L84" i="2" l="1"/>
  <c r="K84" i="2"/>
  <c r="M84" i="2"/>
  <c r="N87" i="2"/>
  <c r="N82" i="2"/>
  <c r="N86" i="2"/>
  <c r="N85" i="2"/>
  <c r="P34" i="2" s="1"/>
  <c r="S34" i="2" s="1"/>
  <c r="N88" i="2"/>
  <c r="N83" i="2"/>
  <c r="N84" i="2" l="1"/>
  <c r="O4" i="2" s="1"/>
  <c r="P66" i="2"/>
  <c r="S66" i="2" s="1"/>
  <c r="P76" i="2"/>
  <c r="S76" i="2" s="1"/>
  <c r="P42" i="2"/>
  <c r="S42" i="2" s="1"/>
  <c r="P49" i="2"/>
  <c r="S49" i="2" s="1"/>
  <c r="P7" i="2"/>
  <c r="S7" i="2" s="1"/>
  <c r="P26" i="2"/>
  <c r="S26" i="2" s="1"/>
  <c r="P77" i="2"/>
  <c r="S77" i="2" s="1"/>
  <c r="P5" i="2"/>
  <c r="S5" i="2" s="1"/>
  <c r="P63" i="2"/>
  <c r="S63" i="2" s="1"/>
  <c r="P10" i="2"/>
  <c r="S10" i="2" s="1"/>
  <c r="P67" i="2"/>
  <c r="S67" i="2" s="1"/>
  <c r="P64" i="2"/>
  <c r="S64" i="2" s="1"/>
  <c r="P54" i="2"/>
  <c r="S54" i="2" s="1"/>
  <c r="P70" i="2"/>
  <c r="S70" i="2" s="1"/>
  <c r="P22" i="2"/>
  <c r="S22" i="2" s="1"/>
  <c r="P51" i="2"/>
  <c r="S51" i="2" s="1"/>
  <c r="P44" i="2"/>
  <c r="S44" i="2" s="1"/>
  <c r="P18" i="2"/>
  <c r="S18" i="2" s="1"/>
  <c r="P71" i="2"/>
  <c r="S71" i="2" s="1"/>
  <c r="P56" i="2"/>
  <c r="S56" i="2" s="1"/>
  <c r="P21" i="2"/>
  <c r="S21" i="2" s="1"/>
  <c r="P20" i="2"/>
  <c r="S20" i="2" s="1"/>
  <c r="P37" i="2"/>
  <c r="S37" i="2" s="1"/>
  <c r="P24" i="2"/>
  <c r="S24" i="2" s="1"/>
  <c r="P28" i="2"/>
  <c r="S28" i="2" s="1"/>
  <c r="P25" i="2"/>
  <c r="S25" i="2" s="1"/>
  <c r="P38" i="2"/>
  <c r="S38" i="2" s="1"/>
  <c r="P17" i="2"/>
  <c r="S17" i="2" s="1"/>
  <c r="P58" i="2"/>
  <c r="S58" i="2" s="1"/>
  <c r="P23" i="2"/>
  <c r="S23" i="2" s="1"/>
  <c r="P72" i="2"/>
  <c r="S72" i="2" s="1"/>
  <c r="P65" i="2"/>
  <c r="S65" i="2" s="1"/>
  <c r="P29" i="2"/>
  <c r="S29" i="2" s="1"/>
  <c r="P27" i="2"/>
  <c r="S27" i="2" s="1"/>
  <c r="P75" i="2"/>
  <c r="S75" i="2" s="1"/>
  <c r="P8" i="2"/>
  <c r="S8" i="2" s="1"/>
  <c r="P79" i="2"/>
  <c r="S79" i="2" s="1"/>
  <c r="P50" i="2"/>
  <c r="S50" i="2" s="1"/>
  <c r="P19" i="2"/>
  <c r="S19" i="2" s="1"/>
  <c r="P30" i="2"/>
  <c r="S30" i="2" s="1"/>
  <c r="P15" i="2"/>
  <c r="S15" i="2" s="1"/>
  <c r="P62" i="2"/>
  <c r="S62" i="2" s="1"/>
  <c r="P35" i="2"/>
  <c r="S35" i="2" s="1"/>
  <c r="P40" i="2"/>
  <c r="S40" i="2" s="1"/>
  <c r="P55" i="2"/>
  <c r="S55" i="2" s="1"/>
  <c r="P74" i="2"/>
  <c r="S74" i="2" s="1"/>
  <c r="P45" i="2"/>
  <c r="S45" i="2" s="1"/>
  <c r="P6" i="2"/>
  <c r="S6" i="2" s="1"/>
  <c r="P12" i="2"/>
  <c r="S12" i="2" s="1"/>
  <c r="P43" i="2"/>
  <c r="S43" i="2" s="1"/>
  <c r="P48" i="2"/>
  <c r="S48" i="2" s="1"/>
  <c r="P11" i="2"/>
  <c r="S11" i="2" s="1"/>
  <c r="P57" i="2"/>
  <c r="S57" i="2" s="1"/>
  <c r="P33" i="2"/>
  <c r="S33" i="2" s="1"/>
  <c r="P36" i="2"/>
  <c r="S36" i="2" s="1"/>
  <c r="P16" i="2"/>
  <c r="S16" i="2" s="1"/>
  <c r="P59" i="2"/>
  <c r="S59" i="2" s="1"/>
  <c r="P47" i="2"/>
  <c r="S47" i="2" s="1"/>
  <c r="P80" i="2"/>
  <c r="S80" i="2" s="1"/>
  <c r="P68" i="2"/>
  <c r="S68" i="2" s="1"/>
  <c r="P60" i="2"/>
  <c r="S60" i="2" s="1"/>
  <c r="P41" i="2"/>
  <c r="S41" i="2" s="1"/>
  <c r="P9" i="2"/>
  <c r="S9" i="2" s="1"/>
  <c r="P61" i="2"/>
  <c r="S61" i="2" s="1"/>
  <c r="P73" i="2"/>
  <c r="S73" i="2" s="1"/>
  <c r="P53" i="2"/>
  <c r="S53" i="2" s="1"/>
  <c r="P32" i="2"/>
  <c r="S32" i="2" s="1"/>
  <c r="P46" i="2"/>
  <c r="S46" i="2" s="1"/>
  <c r="P4" i="2"/>
  <c r="S4" i="2" s="1"/>
  <c r="P31" i="2"/>
  <c r="S31" i="2" s="1"/>
  <c r="P78" i="2"/>
  <c r="S78" i="2" s="1"/>
  <c r="P3" i="2"/>
  <c r="S3" i="2" s="1"/>
  <c r="P52" i="2"/>
  <c r="S52" i="2" s="1"/>
  <c r="P14" i="2"/>
  <c r="S14" i="2" s="1"/>
  <c r="P13" i="2"/>
  <c r="S13" i="2" s="1"/>
  <c r="P69" i="2"/>
  <c r="S69" i="2" s="1"/>
  <c r="P39" i="2"/>
  <c r="S39" i="2" s="1"/>
  <c r="O9" i="2"/>
  <c r="O31" i="2"/>
  <c r="O42" i="2"/>
  <c r="O79" i="2"/>
  <c r="O63" i="2"/>
  <c r="O49" i="2"/>
  <c r="O57" i="2"/>
  <c r="O21" i="2"/>
  <c r="O12" i="2"/>
  <c r="O33" i="2"/>
  <c r="O56" i="2"/>
  <c r="O5" i="2"/>
  <c r="O22" i="2"/>
  <c r="O78" i="2"/>
  <c r="O11" i="2"/>
  <c r="O76" i="2"/>
  <c r="O28" i="2"/>
  <c r="O25" i="2" l="1"/>
  <c r="O68" i="2"/>
  <c r="O59" i="2"/>
  <c r="O60" i="2"/>
  <c r="O26" i="2"/>
  <c r="O54" i="2"/>
  <c r="O36" i="2"/>
  <c r="O51" i="2"/>
  <c r="O47" i="2"/>
  <c r="O58" i="2"/>
  <c r="O3" i="2"/>
  <c r="O53" i="2"/>
  <c r="O10" i="2"/>
  <c r="O77" i="2"/>
  <c r="O32" i="2"/>
  <c r="O39" i="2"/>
  <c r="O34" i="2"/>
  <c r="O19" i="2"/>
  <c r="O48" i="2"/>
  <c r="O20" i="2"/>
  <c r="O65" i="2"/>
  <c r="O23" i="2"/>
  <c r="O46" i="2"/>
  <c r="O66" i="2"/>
  <c r="O7" i="2"/>
  <c r="O73" i="2"/>
  <c r="O40" i="2"/>
  <c r="O75" i="2"/>
  <c r="O17" i="2"/>
  <c r="O67" i="2"/>
  <c r="O69" i="2"/>
  <c r="O27" i="2"/>
  <c r="O6" i="2"/>
  <c r="O45" i="2"/>
  <c r="O43" i="2"/>
  <c r="O74" i="2"/>
  <c r="O64" i="2"/>
  <c r="O18" i="2"/>
  <c r="O38" i="2"/>
  <c r="O71" i="2"/>
  <c r="O44" i="2"/>
  <c r="O13" i="2"/>
  <c r="O8" i="2"/>
  <c r="O15" i="2"/>
  <c r="O72" i="2"/>
  <c r="O29" i="2"/>
  <c r="O62" i="2"/>
  <c r="O35" i="2"/>
  <c r="O24" i="2"/>
  <c r="O41" i="2"/>
  <c r="O50" i="2"/>
  <c r="O70" i="2"/>
  <c r="O30" i="2"/>
  <c r="O16" i="2"/>
  <c r="O61" i="2"/>
  <c r="O55" i="2"/>
  <c r="O37" i="2"/>
  <c r="AH34" i="2"/>
  <c r="X34" i="2"/>
  <c r="A39" i="2"/>
  <c r="A51" i="2"/>
  <c r="A4" i="2"/>
  <c r="A73" i="2"/>
  <c r="A60" i="2"/>
  <c r="A54" i="2"/>
  <c r="A58" i="2"/>
  <c r="A13" i="2"/>
  <c r="A56" i="2"/>
  <c r="A15" i="2"/>
  <c r="A79" i="2"/>
  <c r="A29" i="2"/>
  <c r="A63" i="2"/>
  <c r="A28" i="2"/>
  <c r="A24" i="2"/>
  <c r="A47" i="2"/>
  <c r="A48" i="2"/>
  <c r="A62" i="2"/>
  <c r="A8" i="2"/>
  <c r="A71" i="2"/>
  <c r="A68" i="2"/>
  <c r="A3" i="2"/>
  <c r="A53" i="2"/>
  <c r="A59" i="2"/>
  <c r="A67" i="2"/>
  <c r="A17" i="2"/>
  <c r="A10" i="2"/>
  <c r="A6" i="2"/>
  <c r="A41" i="2"/>
  <c r="A31" i="2"/>
  <c r="A7" i="2"/>
  <c r="A65" i="2"/>
  <c r="A16" i="2"/>
  <c r="A19" i="2"/>
  <c r="A57" i="2"/>
  <c r="A55" i="2"/>
  <c r="A64" i="2"/>
  <c r="A5" i="2"/>
  <c r="A49" i="2"/>
  <c r="A12" i="2"/>
  <c r="A78" i="2"/>
  <c r="A33" i="2"/>
  <c r="A9" i="2"/>
  <c r="A80" i="2"/>
  <c r="A36" i="2"/>
  <c r="A42" i="2"/>
  <c r="A44" i="2"/>
  <c r="A35" i="2"/>
  <c r="A21" i="2"/>
  <c r="A74" i="2"/>
  <c r="A70" i="2"/>
  <c r="A38" i="2"/>
  <c r="A37" i="2"/>
  <c r="A72" i="2"/>
  <c r="A23" i="2"/>
  <c r="A66" i="2"/>
  <c r="A77" i="2"/>
  <c r="A43" i="2"/>
  <c r="A14" i="2"/>
  <c r="A32" i="2"/>
  <c r="A52" i="2"/>
  <c r="A40" i="2"/>
  <c r="A46" i="2"/>
  <c r="A30" i="2"/>
  <c r="A45" i="2"/>
  <c r="A75" i="2"/>
  <c r="A61" i="2"/>
  <c r="A50" i="2"/>
  <c r="A25" i="2"/>
  <c r="A27" i="2"/>
  <c r="A26" i="2"/>
  <c r="A18" i="2"/>
  <c r="A20" i="2"/>
  <c r="A69" i="2"/>
  <c r="A11" i="2"/>
  <c r="A22" i="2"/>
  <c r="A76" i="2"/>
  <c r="A34" i="2"/>
  <c r="O14" i="2"/>
  <c r="O80" i="2"/>
  <c r="O52" i="2"/>
  <c r="P83" i="2"/>
  <c r="P85" i="2"/>
  <c r="P82" i="2"/>
  <c r="P88" i="2"/>
  <c r="P87" i="2"/>
  <c r="P86" i="2"/>
  <c r="AH76" i="2" l="1"/>
  <c r="X76" i="2"/>
  <c r="AH10" i="2"/>
  <c r="X10" i="2"/>
  <c r="AH18" i="2"/>
  <c r="X18" i="2"/>
  <c r="AH25" i="2"/>
  <c r="X25" i="2"/>
  <c r="AH27" i="2"/>
  <c r="X27" i="2"/>
  <c r="AH62" i="2"/>
  <c r="R63" i="3" s="1"/>
  <c r="X62" i="2"/>
  <c r="AJ121" i="2" s="1"/>
  <c r="AL121" i="2" s="1"/>
  <c r="AH43" i="2"/>
  <c r="X43" i="2"/>
  <c r="AH47" i="2"/>
  <c r="X47" i="2"/>
  <c r="AH53" i="2"/>
  <c r="R54" i="3" s="1"/>
  <c r="X53" i="2"/>
  <c r="AJ103" i="2" s="1"/>
  <c r="AL103" i="2" s="1"/>
  <c r="AH14" i="2"/>
  <c r="X14" i="2"/>
  <c r="AH77" i="2"/>
  <c r="X77" i="2"/>
  <c r="AH22" i="2"/>
  <c r="X22" i="2"/>
  <c r="AH37" i="2"/>
  <c r="X37" i="2"/>
  <c r="AH72" i="2"/>
  <c r="X72" i="2"/>
  <c r="AH19" i="2"/>
  <c r="X19" i="2"/>
  <c r="AH45" i="2"/>
  <c r="X45" i="2"/>
  <c r="AH36" i="2"/>
  <c r="X36" i="2"/>
  <c r="AH9" i="2"/>
  <c r="X9" i="2"/>
  <c r="AH78" i="2"/>
  <c r="R79" i="3" s="1"/>
  <c r="X78" i="2"/>
  <c r="Z78" i="2" s="1"/>
  <c r="AH49" i="2"/>
  <c r="R50" i="3" s="1"/>
  <c r="X49" i="2"/>
  <c r="Y49" i="2" s="1"/>
  <c r="AH64" i="2"/>
  <c r="X64" i="2"/>
  <c r="AH56" i="2"/>
  <c r="R57" i="3" s="1"/>
  <c r="X56" i="2"/>
  <c r="Z56" i="2" s="1"/>
  <c r="AH17" i="2"/>
  <c r="X17" i="2"/>
  <c r="AH8" i="2"/>
  <c r="X8" i="2"/>
  <c r="AH40" i="2"/>
  <c r="X40" i="2"/>
  <c r="AH11" i="2"/>
  <c r="X11" i="2"/>
  <c r="AH68" i="2"/>
  <c r="X68" i="2"/>
  <c r="AH46" i="2"/>
  <c r="R47" i="3" s="1"/>
  <c r="X46" i="2"/>
  <c r="Y46" i="2" s="1"/>
  <c r="AH69" i="2"/>
  <c r="R70" i="3" s="1"/>
  <c r="X69" i="2"/>
  <c r="AJ135" i="2" s="1"/>
  <c r="AL135" i="2" s="1"/>
  <c r="AH7" i="2"/>
  <c r="X7" i="2"/>
  <c r="AH54" i="2"/>
  <c r="R55" i="3" s="1"/>
  <c r="X54" i="2"/>
  <c r="Y54" i="2" s="1"/>
  <c r="AH21" i="2"/>
  <c r="X21" i="2"/>
  <c r="AH58" i="2"/>
  <c r="X58" i="2"/>
  <c r="AH79" i="2"/>
  <c r="R80" i="3" s="1"/>
  <c r="X79" i="2"/>
  <c r="Z79" i="2" s="1"/>
  <c r="AH55" i="2"/>
  <c r="X55" i="2"/>
  <c r="AH57" i="2"/>
  <c r="X57" i="2"/>
  <c r="AH60" i="2"/>
  <c r="R61" i="3" s="1"/>
  <c r="X60" i="2"/>
  <c r="AJ117" i="2" s="1"/>
  <c r="AL117" i="2" s="1"/>
  <c r="AH4" i="2"/>
  <c r="X4" i="2"/>
  <c r="AH39" i="2"/>
  <c r="X39" i="2"/>
  <c r="AH26" i="2"/>
  <c r="X26" i="2"/>
  <c r="AH70" i="2"/>
  <c r="R71" i="3" s="1"/>
  <c r="X70" i="2"/>
  <c r="Y70" i="2" s="1"/>
  <c r="AH20" i="2"/>
  <c r="X20" i="2"/>
  <c r="AH23" i="2"/>
  <c r="X23" i="2"/>
  <c r="AH50" i="2"/>
  <c r="R51" i="3" s="1"/>
  <c r="X50" i="2"/>
  <c r="AJ97" i="2" s="1"/>
  <c r="AL97" i="2" s="1"/>
  <c r="AH74" i="2"/>
  <c r="X74" i="2"/>
  <c r="AH33" i="2"/>
  <c r="X33" i="2"/>
  <c r="AH41" i="2"/>
  <c r="X41" i="2"/>
  <c r="AH31" i="2"/>
  <c r="X31" i="2"/>
  <c r="AH42" i="2"/>
  <c r="X42" i="2"/>
  <c r="AH67" i="2"/>
  <c r="X67" i="2"/>
  <c r="AH71" i="2"/>
  <c r="R72" i="3" s="1"/>
  <c r="X71" i="2"/>
  <c r="Z71" i="2" s="1"/>
  <c r="AH38" i="2"/>
  <c r="X38" i="2"/>
  <c r="AH75" i="2"/>
  <c r="R76" i="3" s="1"/>
  <c r="X75" i="2"/>
  <c r="Z75" i="2" s="1"/>
  <c r="AH35" i="2"/>
  <c r="X35" i="2"/>
  <c r="AH48" i="2"/>
  <c r="R49" i="3" s="1"/>
  <c r="X48" i="2"/>
  <c r="Y48" i="2" s="1"/>
  <c r="AH80" i="2"/>
  <c r="R81" i="3" s="1"/>
  <c r="X80" i="2"/>
  <c r="Y80" i="2" s="1"/>
  <c r="AH32" i="2"/>
  <c r="X32" i="2"/>
  <c r="AH13" i="2"/>
  <c r="X13" i="2"/>
  <c r="AH5" i="2"/>
  <c r="X5" i="2"/>
  <c r="AH51" i="2"/>
  <c r="R52" i="3" s="1"/>
  <c r="X51" i="2"/>
  <c r="Y51" i="2" s="1"/>
  <c r="AH24" i="2"/>
  <c r="X24" i="2"/>
  <c r="AH65" i="2"/>
  <c r="R66" i="3" s="1"/>
  <c r="X65" i="2"/>
  <c r="AJ127" i="2" s="1"/>
  <c r="AL127" i="2" s="1"/>
  <c r="AH30" i="2"/>
  <c r="X30" i="2"/>
  <c r="AH6" i="2"/>
  <c r="X6" i="2"/>
  <c r="AH16" i="2"/>
  <c r="X16" i="2"/>
  <c r="AH61" i="2"/>
  <c r="R62" i="3" s="1"/>
  <c r="X61" i="2"/>
  <c r="Z61" i="2" s="1"/>
  <c r="AH3" i="2"/>
  <c r="R4" i="3" s="1"/>
  <c r="X3" i="2"/>
  <c r="Y3" i="2" s="1"/>
  <c r="AH66" i="2"/>
  <c r="X66" i="2"/>
  <c r="AH63" i="2"/>
  <c r="R64" i="3" s="1"/>
  <c r="X63" i="2"/>
  <c r="Z63" i="2" s="1"/>
  <c r="AH44" i="2"/>
  <c r="X44" i="2"/>
  <c r="AH28" i="2"/>
  <c r="X28" i="2"/>
  <c r="AH29" i="2"/>
  <c r="X29" i="2"/>
  <c r="AH15" i="2"/>
  <c r="X15" i="2"/>
  <c r="AH12" i="2"/>
  <c r="X12" i="2"/>
  <c r="AH59" i="2"/>
  <c r="X59" i="2"/>
  <c r="AH73" i="2"/>
  <c r="R74" i="3" s="1"/>
  <c r="X73" i="2"/>
  <c r="Z73" i="2" s="1"/>
  <c r="AH52" i="2"/>
  <c r="R53" i="3" s="1"/>
  <c r="X52" i="2"/>
  <c r="Z52" i="2" s="1"/>
  <c r="O88" i="2"/>
  <c r="O83" i="2"/>
  <c r="O86" i="2"/>
  <c r="O87" i="2"/>
  <c r="O82" i="2"/>
  <c r="O85" i="2"/>
  <c r="P84" i="2"/>
  <c r="AJ153" i="2" l="1"/>
  <c r="AL153" i="2" s="1"/>
  <c r="Y61" i="2"/>
  <c r="AM120" i="2" s="1"/>
  <c r="AO120" i="2" s="1"/>
  <c r="Y75" i="2"/>
  <c r="AA75" i="2" s="1"/>
  <c r="AJ93" i="2"/>
  <c r="AL93" i="2" s="1"/>
  <c r="AJ99" i="2"/>
  <c r="AL99" i="2" s="1"/>
  <c r="AJ147" i="2"/>
  <c r="AL147" i="2" s="1"/>
  <c r="Y52" i="2"/>
  <c r="AA52" i="2" s="1"/>
  <c r="Z60" i="2"/>
  <c r="AJ101" i="2"/>
  <c r="AL101" i="2" s="1"/>
  <c r="Y78" i="2"/>
  <c r="AA78" i="2" s="1"/>
  <c r="AJ119" i="2"/>
  <c r="AL119" i="2" s="1"/>
  <c r="Y69" i="2"/>
  <c r="AA69" i="2" s="1"/>
  <c r="Z48" i="2"/>
  <c r="AB48" i="2" s="1"/>
  <c r="Y73" i="2"/>
  <c r="AM144" i="2" s="1"/>
  <c r="AO144" i="2" s="1"/>
  <c r="Z80" i="2"/>
  <c r="AB80" i="2" s="1"/>
  <c r="Z54" i="2"/>
  <c r="AB54" i="2" s="1"/>
  <c r="Z51" i="2"/>
  <c r="AB51" i="2" s="1"/>
  <c r="AJ105" i="2"/>
  <c r="AL105" i="2" s="1"/>
  <c r="Y60" i="2"/>
  <c r="AM118" i="2" s="1"/>
  <c r="Z69" i="2"/>
  <c r="AB69" i="2" s="1"/>
  <c r="AJ157" i="2"/>
  <c r="AK157" i="2" s="1"/>
  <c r="AJ143" i="2"/>
  <c r="AL143" i="2" s="1"/>
  <c r="Z65" i="2"/>
  <c r="AB65" i="2" s="1"/>
  <c r="Y62" i="2"/>
  <c r="AA62" i="2" s="1"/>
  <c r="AJ95" i="2"/>
  <c r="AL95" i="2" s="1"/>
  <c r="Z49" i="2"/>
  <c r="AB49" i="2" s="1"/>
  <c r="Y63" i="2"/>
  <c r="AM124" i="2" s="1"/>
  <c r="Y53" i="2"/>
  <c r="AM104" i="2" s="1"/>
  <c r="AO104" i="2" s="1"/>
  <c r="Z53" i="2"/>
  <c r="AB53" i="2" s="1"/>
  <c r="Z3" i="2"/>
  <c r="AB3" i="2" s="1"/>
  <c r="AJ89" i="2"/>
  <c r="AL89" i="2" s="1"/>
  <c r="Z50" i="2"/>
  <c r="AB50" i="2" s="1"/>
  <c r="Z70" i="2"/>
  <c r="AB70" i="2" s="1"/>
  <c r="AJ137" i="2"/>
  <c r="AL137" i="2" s="1"/>
  <c r="AJ109" i="2"/>
  <c r="AL109" i="2" s="1"/>
  <c r="AJ123" i="2"/>
  <c r="AK123" i="2" s="1"/>
  <c r="Z46" i="2"/>
  <c r="AB46" i="2" s="1"/>
  <c r="Y56" i="2"/>
  <c r="AM110" i="2" s="1"/>
  <c r="Z62" i="2"/>
  <c r="AB62" i="2" s="1"/>
  <c r="Y65" i="2"/>
  <c r="AA65" i="2" s="1"/>
  <c r="Y79" i="2"/>
  <c r="AM156" i="2" s="1"/>
  <c r="AO156" i="2" s="1"/>
  <c r="Y71" i="2"/>
  <c r="AM140" i="2" s="1"/>
  <c r="AO140" i="2" s="1"/>
  <c r="AJ139" i="2"/>
  <c r="AK139" i="2" s="1"/>
  <c r="AJ155" i="2"/>
  <c r="AK155" i="2" s="1"/>
  <c r="Y50" i="2"/>
  <c r="AM98" i="2" s="1"/>
  <c r="AO98" i="2" s="1"/>
  <c r="AJ3" i="2"/>
  <c r="AL3" i="2" s="1"/>
  <c r="AB75" i="2"/>
  <c r="AB60" i="2"/>
  <c r="AB52" i="2"/>
  <c r="AB71" i="2"/>
  <c r="AB79" i="2"/>
  <c r="O84" i="2"/>
  <c r="AB56" i="2"/>
  <c r="AB73" i="2"/>
  <c r="AB61" i="2"/>
  <c r="AB78" i="2"/>
  <c r="AB63" i="2"/>
  <c r="AK117" i="2"/>
  <c r="AK127" i="2"/>
  <c r="AK121" i="2"/>
  <c r="AA51" i="2"/>
  <c r="AM100" i="2"/>
  <c r="AA48" i="2"/>
  <c r="AM94" i="2"/>
  <c r="AK97" i="2"/>
  <c r="AK135" i="2"/>
  <c r="AA80" i="2"/>
  <c r="AM158" i="2"/>
  <c r="AA70" i="2"/>
  <c r="AM138" i="2"/>
  <c r="AO138" i="2" s="1"/>
  <c r="AK103" i="2"/>
  <c r="AA49" i="2"/>
  <c r="AM96" i="2"/>
  <c r="AO96" i="2" s="1"/>
  <c r="AA3" i="2"/>
  <c r="AM4" i="2"/>
  <c r="AO4" i="2" s="1"/>
  <c r="AA54" i="2"/>
  <c r="AM106" i="2"/>
  <c r="AO106" i="2" s="1"/>
  <c r="AA46" i="2"/>
  <c r="AC46" i="2" s="1"/>
  <c r="AM90" i="2"/>
  <c r="AO90" i="2" s="1"/>
  <c r="AK153" i="2" l="1"/>
  <c r="AA61" i="2"/>
  <c r="AC61" i="2" s="1"/>
  <c r="AM148" i="2"/>
  <c r="AO148" i="2" s="1"/>
  <c r="AM122" i="2"/>
  <c r="AO122" i="2" s="1"/>
  <c r="AK93" i="2"/>
  <c r="AK101" i="2"/>
  <c r="AM136" i="2"/>
  <c r="AO136" i="2" s="1"/>
  <c r="AK147" i="2"/>
  <c r="AM154" i="2"/>
  <c r="AO154" i="2" s="1"/>
  <c r="AK99" i="2"/>
  <c r="AM102" i="2"/>
  <c r="AO102" i="2" s="1"/>
  <c r="AK119" i="2"/>
  <c r="AA73" i="2"/>
  <c r="AC73" i="2" s="1"/>
  <c r="AK143" i="2"/>
  <c r="AK105" i="2"/>
  <c r="AA60" i="2"/>
  <c r="AC60" i="2" s="1"/>
  <c r="AL157" i="2"/>
  <c r="AA53" i="2"/>
  <c r="AC53" i="2" s="1"/>
  <c r="AA50" i="2"/>
  <c r="AC50" i="2" s="1"/>
  <c r="AK95" i="2"/>
  <c r="AA79" i="2"/>
  <c r="AC79" i="2" s="1"/>
  <c r="AL155" i="2"/>
  <c r="AA63" i="2"/>
  <c r="AC63" i="2" s="1"/>
  <c r="AK89" i="2"/>
  <c r="AL139" i="2"/>
  <c r="AK109" i="2"/>
  <c r="AK3" i="2"/>
  <c r="AA56" i="2"/>
  <c r="AC56" i="2" s="1"/>
  <c r="AA71" i="2"/>
  <c r="AC71" i="2" s="1"/>
  <c r="AK137" i="2"/>
  <c r="AL123" i="2"/>
  <c r="AM128" i="2"/>
  <c r="AO128" i="2" s="1"/>
  <c r="AC49" i="2"/>
  <c r="AC54" i="2"/>
  <c r="AC75" i="2"/>
  <c r="AC78" i="2"/>
  <c r="AC65" i="2"/>
  <c r="AC52" i="2"/>
  <c r="AN90" i="2"/>
  <c r="AN138" i="2"/>
  <c r="AN4" i="2"/>
  <c r="AN120" i="2"/>
  <c r="AN106" i="2"/>
  <c r="AN98" i="2"/>
  <c r="AC51" i="2"/>
  <c r="AC3" i="2"/>
  <c r="AN118" i="2"/>
  <c r="AO118" i="2"/>
  <c r="AC62" i="2"/>
  <c r="AC70" i="2"/>
  <c r="AN100" i="2"/>
  <c r="AO100" i="2"/>
  <c r="AN144" i="2"/>
  <c r="AN96" i="2"/>
  <c r="AC69" i="2"/>
  <c r="AN158" i="2"/>
  <c r="AO158" i="2"/>
  <c r="AN94" i="2"/>
  <c r="AO94" i="2"/>
  <c r="AN104" i="2"/>
  <c r="AN156" i="2"/>
  <c r="AN110" i="2"/>
  <c r="AO110" i="2"/>
  <c r="AC80" i="2"/>
  <c r="AC48" i="2"/>
  <c r="AN124" i="2"/>
  <c r="AO124" i="2"/>
  <c r="AN140" i="2"/>
  <c r="AN148" i="2" l="1"/>
  <c r="AN122" i="2"/>
  <c r="AN154" i="2"/>
  <c r="AN136" i="2"/>
  <c r="AN102" i="2"/>
  <c r="AN128" i="2"/>
  <c r="AJ133" i="2"/>
  <c r="R69" i="3"/>
  <c r="AJ23" i="2"/>
  <c r="AL23" i="2" s="1"/>
  <c r="R14" i="3"/>
  <c r="Z24" i="2"/>
  <c r="R25" i="3"/>
  <c r="Z57" i="2"/>
  <c r="AB57" i="2" s="1"/>
  <c r="R58" i="3"/>
  <c r="Y6" i="2"/>
  <c r="R7" i="3"/>
  <c r="Z19" i="2"/>
  <c r="AB19" i="2" s="1"/>
  <c r="R20" i="3"/>
  <c r="Y10" i="2"/>
  <c r="AA10" i="2" s="1"/>
  <c r="R11" i="3"/>
  <c r="AJ57" i="2"/>
  <c r="AL57" i="2" s="1"/>
  <c r="R31" i="3"/>
  <c r="AJ39" i="2"/>
  <c r="AL39" i="2" s="1"/>
  <c r="R22" i="3"/>
  <c r="Z5" i="2"/>
  <c r="R6" i="3"/>
  <c r="Y43" i="2"/>
  <c r="R44" i="3"/>
  <c r="AJ37" i="2"/>
  <c r="AL37" i="2" s="1"/>
  <c r="R21" i="3"/>
  <c r="Y76" i="2"/>
  <c r="R77" i="3"/>
  <c r="Z14" i="2"/>
  <c r="R15" i="3"/>
  <c r="Y22" i="2"/>
  <c r="R23" i="3"/>
  <c r="Z64" i="2"/>
  <c r="AB64" i="2" s="1"/>
  <c r="R65" i="3"/>
  <c r="AJ131" i="2"/>
  <c r="R68" i="3"/>
  <c r="Z28" i="2"/>
  <c r="AB28" i="2" s="1"/>
  <c r="R29" i="3"/>
  <c r="Z25" i="2"/>
  <c r="AB25" i="2" s="1"/>
  <c r="R26" i="3"/>
  <c r="AJ19" i="2"/>
  <c r="AL19" i="2" s="1"/>
  <c r="R12" i="3"/>
  <c r="Z66" i="2"/>
  <c r="AB66" i="2" s="1"/>
  <c r="R67" i="3"/>
  <c r="AJ113" i="2"/>
  <c r="AL113" i="2" s="1"/>
  <c r="R59" i="3"/>
  <c r="AJ21" i="2"/>
  <c r="AL21" i="2" s="1"/>
  <c r="R13" i="3"/>
  <c r="Z74" i="2"/>
  <c r="R75" i="3"/>
  <c r="Z29" i="2"/>
  <c r="R30" i="3"/>
  <c r="Y23" i="2"/>
  <c r="AM44" i="2" s="1"/>
  <c r="R24" i="3"/>
  <c r="AJ29" i="2"/>
  <c r="AL29" i="2" s="1"/>
  <c r="R17" i="3"/>
  <c r="R5" i="3"/>
  <c r="AJ5" i="2"/>
  <c r="AL5" i="2" s="1"/>
  <c r="AJ87" i="2"/>
  <c r="AL87" i="2" s="1"/>
  <c r="R46" i="3"/>
  <c r="Y55" i="2"/>
  <c r="R56" i="3"/>
  <c r="Z42" i="2"/>
  <c r="R43" i="3"/>
  <c r="AJ91" i="2"/>
  <c r="AL91" i="2" s="1"/>
  <c r="R48" i="3"/>
  <c r="AJ141" i="2"/>
  <c r="R73" i="3"/>
  <c r="Z44" i="2"/>
  <c r="R45" i="3"/>
  <c r="AJ49" i="2"/>
  <c r="AL49" i="2" s="1"/>
  <c r="R27" i="3"/>
  <c r="Y15" i="2"/>
  <c r="R16" i="3"/>
  <c r="AJ15" i="2"/>
  <c r="AL15" i="2" s="1"/>
  <c r="R10" i="3"/>
  <c r="Y17" i="2"/>
  <c r="R18" i="3"/>
  <c r="Z77" i="2"/>
  <c r="AB77" i="2" s="1"/>
  <c r="R78" i="3"/>
  <c r="Y27" i="2"/>
  <c r="R28" i="3"/>
  <c r="Z7" i="2"/>
  <c r="R8" i="3"/>
  <c r="Z8" i="2"/>
  <c r="R9" i="3"/>
  <c r="Y18" i="2"/>
  <c r="AA18" i="2" s="1"/>
  <c r="R19" i="3"/>
  <c r="Y19" i="2"/>
  <c r="AM36" i="2" s="1"/>
  <c r="R60" i="3"/>
  <c r="Y67" i="2" l="1"/>
  <c r="AA67" i="2" s="1"/>
  <c r="Z4" i="2"/>
  <c r="AB4" i="2" s="1"/>
  <c r="AM18" i="2"/>
  <c r="AO18" i="2" s="1"/>
  <c r="Y72" i="2"/>
  <c r="AM142" i="2" s="1"/>
  <c r="AJ25" i="2"/>
  <c r="AL25" i="2" s="1"/>
  <c r="Y24" i="2"/>
  <c r="AA24" i="2" s="1"/>
  <c r="Z21" i="2"/>
  <c r="AB21" i="2" s="1"/>
  <c r="Y68" i="2"/>
  <c r="AA68" i="2" s="1"/>
  <c r="AJ55" i="2"/>
  <c r="AL55" i="2" s="1"/>
  <c r="AJ83" i="2"/>
  <c r="AL83" i="2" s="1"/>
  <c r="Z22" i="2"/>
  <c r="AB22" i="2" s="1"/>
  <c r="AJ45" i="2"/>
  <c r="AL45" i="2" s="1"/>
  <c r="Z68" i="2"/>
  <c r="AB68" i="2" s="1"/>
  <c r="Y7" i="2"/>
  <c r="AA7" i="2" s="1"/>
  <c r="Z12" i="2"/>
  <c r="AB12" i="2" s="1"/>
  <c r="AJ129" i="2"/>
  <c r="AL129" i="2" s="1"/>
  <c r="AJ17" i="2"/>
  <c r="AL17" i="2" s="1"/>
  <c r="AJ9" i="2"/>
  <c r="AL9" i="2" s="1"/>
  <c r="Y45" i="2"/>
  <c r="AM88" i="2" s="1"/>
  <c r="AJ149" i="2"/>
  <c r="AK149" i="2" s="1"/>
  <c r="Z10" i="2"/>
  <c r="Z16" i="2"/>
  <c r="AB16" i="2" s="1"/>
  <c r="Z67" i="2"/>
  <c r="AB67" i="2" s="1"/>
  <c r="Y42" i="2"/>
  <c r="AA42" i="2" s="1"/>
  <c r="AJ47" i="2"/>
  <c r="AL47" i="2" s="1"/>
  <c r="Z72" i="2"/>
  <c r="AB72" i="2" s="1"/>
  <c r="AJ81" i="2"/>
  <c r="AL81" i="2" s="1"/>
  <c r="Z6" i="2"/>
  <c r="AB6" i="2" s="1"/>
  <c r="AJ41" i="2"/>
  <c r="AL41" i="2" s="1"/>
  <c r="Z76" i="2"/>
  <c r="Y21" i="2"/>
  <c r="AM40" i="2" s="1"/>
  <c r="AO40" i="2" s="1"/>
  <c r="Z43" i="2"/>
  <c r="AB43" i="2" s="1"/>
  <c r="Z45" i="2"/>
  <c r="AB45" i="2" s="1"/>
  <c r="Y29" i="2"/>
  <c r="AM56" i="2" s="1"/>
  <c r="AK39" i="2"/>
  <c r="AK15" i="2"/>
  <c r="AM34" i="2"/>
  <c r="AO34" i="2" s="1"/>
  <c r="Y12" i="2"/>
  <c r="AA12" i="2" s="1"/>
  <c r="Y66" i="2"/>
  <c r="AA66" i="2" s="1"/>
  <c r="AC66" i="2" s="1"/>
  <c r="AJ33" i="2"/>
  <c r="AL33" i="2" s="1"/>
  <c r="Z58" i="2"/>
  <c r="AB58" i="2" s="1"/>
  <c r="Y20" i="2"/>
  <c r="AM38" i="2" s="1"/>
  <c r="Z47" i="2"/>
  <c r="AB47" i="2" s="1"/>
  <c r="AK23" i="2"/>
  <c r="Z11" i="2"/>
  <c r="AB11" i="2" s="1"/>
  <c r="Z20" i="2"/>
  <c r="AB20" i="2" s="1"/>
  <c r="AJ85" i="2"/>
  <c r="AL85" i="2" s="1"/>
  <c r="AJ151" i="2"/>
  <c r="AL151" i="2" s="1"/>
  <c r="AJ11" i="2"/>
  <c r="AL11" i="2" s="1"/>
  <c r="Y16" i="2"/>
  <c r="AA16" i="2" s="1"/>
  <c r="Y4" i="2"/>
  <c r="AM6" i="2" s="1"/>
  <c r="Z17" i="2"/>
  <c r="AB17" i="2" s="1"/>
  <c r="AJ53" i="2"/>
  <c r="AL53" i="2" s="1"/>
  <c r="AA23" i="2"/>
  <c r="AC23" i="2" s="1"/>
  <c r="Y13" i="2"/>
  <c r="AA13" i="2" s="1"/>
  <c r="AC13" i="2" s="1"/>
  <c r="AJ111" i="2"/>
  <c r="AL111" i="2" s="1"/>
  <c r="AJ145" i="2"/>
  <c r="AL145" i="2" s="1"/>
  <c r="Y44" i="2"/>
  <c r="AM86" i="2" s="1"/>
  <c r="Y14" i="2"/>
  <c r="AA14" i="2" s="1"/>
  <c r="Y11" i="2"/>
  <c r="AA11" i="2" s="1"/>
  <c r="Y8" i="2"/>
  <c r="AA8" i="2" s="1"/>
  <c r="Y30" i="2"/>
  <c r="AA30" i="2" s="1"/>
  <c r="AC30" i="2" s="1"/>
  <c r="Z55" i="2"/>
  <c r="AB55" i="2" s="1"/>
  <c r="Y74" i="2"/>
  <c r="AM146" i="2" s="1"/>
  <c r="AO146" i="2" s="1"/>
  <c r="AJ35" i="2"/>
  <c r="AL35" i="2" s="1"/>
  <c r="AJ27" i="2"/>
  <c r="AL27" i="2" s="1"/>
  <c r="AJ7" i="2"/>
  <c r="AK7" i="2" s="1"/>
  <c r="Z30" i="2"/>
  <c r="AB30" i="2" s="1"/>
  <c r="Y58" i="2"/>
  <c r="AM114" i="2" s="1"/>
  <c r="AO114" i="2" s="1"/>
  <c r="Z13" i="2"/>
  <c r="AB13" i="2" s="1"/>
  <c r="Y28" i="2"/>
  <c r="AM54" i="2" s="1"/>
  <c r="AO54" i="2" s="1"/>
  <c r="Z15" i="2"/>
  <c r="AB15" i="2" s="1"/>
  <c r="Z27" i="2"/>
  <c r="AB27" i="2" s="1"/>
  <c r="Y47" i="2"/>
  <c r="AA47" i="2" s="1"/>
  <c r="AJ51" i="2"/>
  <c r="AL51" i="2" s="1"/>
  <c r="AJ107" i="2"/>
  <c r="AL107" i="2" s="1"/>
  <c r="AJ13" i="2"/>
  <c r="AL13" i="2" s="1"/>
  <c r="Z9" i="2"/>
  <c r="AB9" i="2" s="1"/>
  <c r="Y25" i="2"/>
  <c r="AA25" i="2" s="1"/>
  <c r="AC25" i="2" s="1"/>
  <c r="Z23" i="2"/>
  <c r="AB23" i="2" s="1"/>
  <c r="Y64" i="2"/>
  <c r="AA64" i="2" s="1"/>
  <c r="AC64" i="2" s="1"/>
  <c r="Y5" i="2"/>
  <c r="AM8" i="2" s="1"/>
  <c r="AJ125" i="2"/>
  <c r="AL125" i="2" s="1"/>
  <c r="AJ43" i="2"/>
  <c r="AL43" i="2" s="1"/>
  <c r="Z18" i="2"/>
  <c r="AB18" i="2" s="1"/>
  <c r="Y57" i="2"/>
  <c r="AA57" i="2" s="1"/>
  <c r="AC57" i="2" s="1"/>
  <c r="Y9" i="2"/>
  <c r="AM16" i="2" s="1"/>
  <c r="AO16" i="2" s="1"/>
  <c r="Y77" i="2"/>
  <c r="AA77" i="2" s="1"/>
  <c r="AC77" i="2" s="1"/>
  <c r="AJ31" i="2"/>
  <c r="AK31" i="2" s="1"/>
  <c r="Z26" i="2"/>
  <c r="AB26" i="2" s="1"/>
  <c r="Y26" i="2"/>
  <c r="AA19" i="2"/>
  <c r="AC19" i="2" s="1"/>
  <c r="AB10" i="2"/>
  <c r="AB76" i="2"/>
  <c r="AC10" i="2"/>
  <c r="AB74" i="2"/>
  <c r="AK29" i="2"/>
  <c r="AB24" i="2"/>
  <c r="AB42" i="2"/>
  <c r="AK5" i="2"/>
  <c r="AK49" i="2"/>
  <c r="AK57" i="2"/>
  <c r="AB5" i="2"/>
  <c r="AB29" i="2"/>
  <c r="AC18" i="2"/>
  <c r="AK91" i="2"/>
  <c r="AK87" i="2"/>
  <c r="AK113" i="2"/>
  <c r="Y59" i="2"/>
  <c r="AM116" i="2" s="1"/>
  <c r="AJ115" i="2"/>
  <c r="AA76" i="2"/>
  <c r="AC76" i="2" s="1"/>
  <c r="AM150" i="2"/>
  <c r="AN36" i="2"/>
  <c r="AO36" i="2"/>
  <c r="AA43" i="2"/>
  <c r="AM84" i="2"/>
  <c r="AK133" i="2"/>
  <c r="AL133" i="2"/>
  <c r="AA22" i="2"/>
  <c r="AM42" i="2"/>
  <c r="AO42" i="2" s="1"/>
  <c r="AA15" i="2"/>
  <c r="AM28" i="2"/>
  <c r="AK37" i="2"/>
  <c r="AN44" i="2"/>
  <c r="AO44" i="2"/>
  <c r="AA27" i="2"/>
  <c r="AM52" i="2"/>
  <c r="AK19" i="2"/>
  <c r="AA6" i="2"/>
  <c r="AM10" i="2"/>
  <c r="AO10" i="2" s="1"/>
  <c r="AK141" i="2"/>
  <c r="AL141" i="2"/>
  <c r="AA17" i="2"/>
  <c r="AM32" i="2"/>
  <c r="AK131" i="2"/>
  <c r="AL131" i="2"/>
  <c r="AA55" i="2"/>
  <c r="AM108" i="2"/>
  <c r="AK21" i="2"/>
  <c r="AB7" i="2"/>
  <c r="AB44" i="2"/>
  <c r="AB14" i="2"/>
  <c r="AB8" i="2"/>
  <c r="Z59" i="2"/>
  <c r="AM132" i="2" l="1"/>
  <c r="AN132" i="2" s="1"/>
  <c r="AA29" i="2"/>
  <c r="AC29" i="2" s="1"/>
  <c r="AM14" i="2"/>
  <c r="AO14" i="2" s="1"/>
  <c r="AK41" i="2"/>
  <c r="AA58" i="2"/>
  <c r="AC58" i="2" s="1"/>
  <c r="AK35" i="2"/>
  <c r="AK13" i="2"/>
  <c r="AA72" i="2"/>
  <c r="AC72" i="2" s="1"/>
  <c r="AM46" i="2"/>
  <c r="AN46" i="2" s="1"/>
  <c r="AA20" i="2"/>
  <c r="AK9" i="2"/>
  <c r="AM12" i="2"/>
  <c r="AN12" i="2" s="1"/>
  <c r="AM22" i="2"/>
  <c r="AN22" i="2" s="1"/>
  <c r="AK83" i="2"/>
  <c r="AA44" i="2"/>
  <c r="AC44" i="2" s="1"/>
  <c r="AK25" i="2"/>
  <c r="AK47" i="2"/>
  <c r="AL31" i="2"/>
  <c r="AN34" i="2"/>
  <c r="AK17" i="2"/>
  <c r="AK55" i="2"/>
  <c r="AN18" i="2"/>
  <c r="AA45" i="2"/>
  <c r="AC45" i="2" s="1"/>
  <c r="AN40" i="2"/>
  <c r="AM26" i="2"/>
  <c r="AO26" i="2" s="1"/>
  <c r="AM134" i="2"/>
  <c r="AO134" i="2" s="1"/>
  <c r="AN54" i="2"/>
  <c r="AK45" i="2"/>
  <c r="AM24" i="2"/>
  <c r="AO24" i="2" s="1"/>
  <c r="AK81" i="2"/>
  <c r="AL7" i="2"/>
  <c r="AK85" i="2"/>
  <c r="AA4" i="2"/>
  <c r="AC4" i="2" s="1"/>
  <c r="AA5" i="2"/>
  <c r="AC5" i="2" s="1"/>
  <c r="AK51" i="2"/>
  <c r="AA28" i="2"/>
  <c r="AC28" i="2" s="1"/>
  <c r="AN16" i="2"/>
  <c r="AA21" i="2"/>
  <c r="AC21" i="2" s="1"/>
  <c r="AM130" i="2"/>
  <c r="AO130" i="2" s="1"/>
  <c r="AL149" i="2"/>
  <c r="AM82" i="2"/>
  <c r="AO82" i="2" s="1"/>
  <c r="AK129" i="2"/>
  <c r="AK33" i="2"/>
  <c r="AK111" i="2"/>
  <c r="AA74" i="2"/>
  <c r="AC74" i="2" s="1"/>
  <c r="AK107" i="2"/>
  <c r="AK151" i="2"/>
  <c r="AM20" i="2"/>
  <c r="AN20" i="2" s="1"/>
  <c r="AK145" i="2"/>
  <c r="AK53" i="2"/>
  <c r="AK11" i="2"/>
  <c r="AM48" i="2"/>
  <c r="AN48" i="2" s="1"/>
  <c r="AM92" i="2"/>
  <c r="AN92" i="2" s="1"/>
  <c r="AM30" i="2"/>
  <c r="AO30" i="2" s="1"/>
  <c r="AM58" i="2"/>
  <c r="AO58" i="2" s="1"/>
  <c r="AK27" i="2"/>
  <c r="AM112" i="2"/>
  <c r="AO112" i="2" s="1"/>
  <c r="AM126" i="2"/>
  <c r="AN126" i="2" s="1"/>
  <c r="AK125" i="2"/>
  <c r="AA9" i="2"/>
  <c r="AC9" i="2" s="1"/>
  <c r="AK43" i="2"/>
  <c r="AM152" i="2"/>
  <c r="AO152" i="2" s="1"/>
  <c r="AA26" i="2"/>
  <c r="AC26" i="2" s="1"/>
  <c r="AM50" i="2"/>
  <c r="AC11" i="2"/>
  <c r="AA59" i="2"/>
  <c r="AC68" i="2"/>
  <c r="AC15" i="2"/>
  <c r="AC42" i="2"/>
  <c r="AC20" i="2"/>
  <c r="AC6" i="2"/>
  <c r="AN146" i="2"/>
  <c r="AN42" i="2"/>
  <c r="AN10" i="2"/>
  <c r="AN108" i="2"/>
  <c r="AO108" i="2"/>
  <c r="AN32" i="2"/>
  <c r="AO32" i="2"/>
  <c r="AN6" i="2"/>
  <c r="AO6" i="2"/>
  <c r="AN88" i="2"/>
  <c r="AO88" i="2"/>
  <c r="AN52" i="2"/>
  <c r="AO52" i="2"/>
  <c r="AN56" i="2"/>
  <c r="AO56" i="2"/>
  <c r="AC67" i="2"/>
  <c r="AC24" i="2"/>
  <c r="AN150" i="2"/>
  <c r="AO150" i="2"/>
  <c r="AN14" i="2"/>
  <c r="AC17" i="2"/>
  <c r="AN38" i="2"/>
  <c r="AO38" i="2"/>
  <c r="AC27" i="2"/>
  <c r="AN142" i="2"/>
  <c r="AO142" i="2"/>
  <c r="AC22" i="2"/>
  <c r="AN84" i="2"/>
  <c r="AO84" i="2"/>
  <c r="AN86" i="2"/>
  <c r="AO86" i="2"/>
  <c r="AC8" i="2"/>
  <c r="AC14" i="2"/>
  <c r="AN114" i="2"/>
  <c r="AC7" i="2"/>
  <c r="AC16" i="2"/>
  <c r="AC12" i="2"/>
  <c r="AC43" i="2"/>
  <c r="AK115" i="2"/>
  <c r="AL115" i="2"/>
  <c r="AC55" i="2"/>
  <c r="AN28" i="2"/>
  <c r="AO28" i="2"/>
  <c r="AN8" i="2"/>
  <c r="AO8" i="2"/>
  <c r="AC47" i="2"/>
  <c r="AN116" i="2"/>
  <c r="AO116" i="2"/>
  <c r="AB59" i="2"/>
  <c r="AO132" i="2" l="1"/>
  <c r="AO22" i="2"/>
  <c r="AO46" i="2"/>
  <c r="AO12" i="2"/>
  <c r="AN26" i="2"/>
  <c r="AN134" i="2"/>
  <c r="AN30" i="2"/>
  <c r="AO92" i="2"/>
  <c r="AO20" i="2"/>
  <c r="AN24" i="2"/>
  <c r="AN130" i="2"/>
  <c r="AN82" i="2"/>
  <c r="AO126" i="2"/>
  <c r="AN112" i="2"/>
  <c r="AO48" i="2"/>
  <c r="AN58" i="2"/>
  <c r="AN152" i="2"/>
  <c r="AO50" i="2"/>
  <c r="AN50" i="2"/>
  <c r="AC59" i="2"/>
  <c r="R38" i="3" l="1"/>
  <c r="Z37" i="2"/>
  <c r="AJ73" i="2"/>
  <c r="AL73" i="2" s="1"/>
  <c r="R39" i="3"/>
  <c r="R32" i="3"/>
  <c r="Y31" i="2"/>
  <c r="AM60" i="2" s="1"/>
  <c r="R37" i="3"/>
  <c r="Y36" i="2"/>
  <c r="AJ63" i="2"/>
  <c r="AL63" i="2" s="1"/>
  <c r="R34" i="3"/>
  <c r="Y32" i="2"/>
  <c r="R33" i="3"/>
  <c r="R35" i="3"/>
  <c r="Y34" i="2"/>
  <c r="R36" i="3"/>
  <c r="R40" i="3"/>
  <c r="R42" i="3"/>
  <c r="Y33" i="2" l="1"/>
  <c r="AA33" i="2" s="1"/>
  <c r="Y38" i="2"/>
  <c r="AM74" i="2" s="1"/>
  <c r="AO74" i="2" s="1"/>
  <c r="Z33" i="2"/>
  <c r="AB33" i="2" s="1"/>
  <c r="AJ71" i="2"/>
  <c r="AL71" i="2" s="1"/>
  <c r="AJ59" i="2"/>
  <c r="AL59" i="2" s="1"/>
  <c r="Y37" i="2"/>
  <c r="AA37" i="2" s="1"/>
  <c r="Z38" i="2"/>
  <c r="AB38" i="2" s="1"/>
  <c r="Z34" i="2"/>
  <c r="AB34" i="2" s="1"/>
  <c r="Z32" i="2"/>
  <c r="AB32" i="2" s="1"/>
  <c r="Z31" i="2"/>
  <c r="AB31" i="2" s="1"/>
  <c r="Z36" i="2"/>
  <c r="AB36" i="2" s="1"/>
  <c r="AJ65" i="2"/>
  <c r="AL65" i="2" s="1"/>
  <c r="AJ61" i="2"/>
  <c r="AL61" i="2" s="1"/>
  <c r="AJ69" i="2"/>
  <c r="AL69" i="2" s="1"/>
  <c r="AA31" i="2"/>
  <c r="AC31" i="2" s="1"/>
  <c r="AK73" i="2"/>
  <c r="Y39" i="2"/>
  <c r="AJ75" i="2"/>
  <c r="AL75" i="2" s="1"/>
  <c r="AA34" i="2"/>
  <c r="AM66" i="2"/>
  <c r="AO66" i="2" s="1"/>
  <c r="Y41" i="2"/>
  <c r="AJ79" i="2"/>
  <c r="AL79" i="2" s="1"/>
  <c r="Y35" i="2"/>
  <c r="AJ67" i="2"/>
  <c r="AL67" i="2" s="1"/>
  <c r="AN60" i="2"/>
  <c r="AO60" i="2"/>
  <c r="AK63" i="2"/>
  <c r="AA32" i="2"/>
  <c r="AM62" i="2"/>
  <c r="AA36" i="2"/>
  <c r="AM70" i="2"/>
  <c r="AB37" i="2"/>
  <c r="Z41" i="2"/>
  <c r="Z35" i="2"/>
  <c r="Z39" i="2"/>
  <c r="AM64" i="2" l="1"/>
  <c r="AN64" i="2" s="1"/>
  <c r="AA38" i="2"/>
  <c r="AC38" i="2" s="1"/>
  <c r="AM72" i="2"/>
  <c r="AN72" i="2" s="1"/>
  <c r="AK59" i="2"/>
  <c r="AK71" i="2"/>
  <c r="AK61" i="2"/>
  <c r="AK65" i="2"/>
  <c r="AK69" i="2"/>
  <c r="AK67" i="2"/>
  <c r="AK79" i="2"/>
  <c r="AN74" i="2"/>
  <c r="AC34" i="2"/>
  <c r="AC33" i="2"/>
  <c r="AA41" i="2"/>
  <c r="AM80" i="2"/>
  <c r="AN62" i="2"/>
  <c r="AO62" i="2"/>
  <c r="AN70" i="2"/>
  <c r="AO70" i="2"/>
  <c r="AC32" i="2"/>
  <c r="AA35" i="2"/>
  <c r="AM68" i="2"/>
  <c r="AC37" i="2"/>
  <c r="AK75" i="2"/>
  <c r="AC36" i="2"/>
  <c r="AN66" i="2"/>
  <c r="AA39" i="2"/>
  <c r="AM76" i="2"/>
  <c r="AB41" i="2"/>
  <c r="AB39" i="2"/>
  <c r="AB35" i="2"/>
  <c r="AO64" i="2" l="1"/>
  <c r="AO72" i="2"/>
  <c r="R41" i="3"/>
  <c r="X81" i="2"/>
  <c r="AN76" i="2"/>
  <c r="AO76" i="2"/>
  <c r="AC39" i="2"/>
  <c r="AC41" i="2"/>
  <c r="AN68" i="2"/>
  <c r="AO68" i="2"/>
  <c r="AN80" i="2"/>
  <c r="AO80" i="2"/>
  <c r="AC35" i="2"/>
  <c r="Y40" i="2" l="1"/>
  <c r="AM78" i="2" s="1"/>
  <c r="AO78" i="2" s="1"/>
  <c r="Z40" i="2"/>
  <c r="Z81" i="2" s="1"/>
  <c r="AJ77" i="2"/>
  <c r="AL77" i="2" s="1"/>
  <c r="R18" i="2"/>
  <c r="AJ159" i="2"/>
  <c r="AL159" i="2" s="1"/>
  <c r="Y81" i="2" l="1"/>
  <c r="AM160" i="2" s="1"/>
  <c r="AO160" i="2" s="1"/>
  <c r="R19" i="2"/>
  <c r="B25" i="3" s="1"/>
  <c r="S81" i="2"/>
  <c r="AA40" i="2"/>
  <c r="AA81" i="2" s="1"/>
  <c r="AB40" i="2"/>
  <c r="AN78" i="2"/>
  <c r="AK77" i="2"/>
  <c r="AK159" i="2"/>
  <c r="AD40" i="2"/>
  <c r="AD81" i="2"/>
  <c r="AB81" i="2"/>
  <c r="AD79" i="2"/>
  <c r="AD73" i="2"/>
  <c r="AD61" i="2"/>
  <c r="AD65" i="2"/>
  <c r="AD49" i="2"/>
  <c r="AD69" i="2"/>
  <c r="AD78" i="2"/>
  <c r="AD46" i="2"/>
  <c r="AD3" i="2"/>
  <c r="AD70" i="2"/>
  <c r="AD56" i="2"/>
  <c r="AD52" i="2"/>
  <c r="AD80" i="2"/>
  <c r="AD62" i="2"/>
  <c r="AD53" i="2"/>
  <c r="AD75" i="2"/>
  <c r="AD71" i="2"/>
  <c r="AD51" i="2"/>
  <c r="AD63" i="2"/>
  <c r="AD50" i="2"/>
  <c r="AD60" i="2"/>
  <c r="AD54" i="2"/>
  <c r="AD48" i="2"/>
  <c r="AD22" i="2"/>
  <c r="AD47" i="2"/>
  <c r="AD23" i="2"/>
  <c r="AD6" i="2"/>
  <c r="AD10" i="2"/>
  <c r="AD21" i="2"/>
  <c r="AD13" i="2"/>
  <c r="AD14" i="2"/>
  <c r="AD67" i="2"/>
  <c r="AD15" i="2"/>
  <c r="AD29" i="2"/>
  <c r="AD25" i="2"/>
  <c r="AD11" i="2"/>
  <c r="AD5" i="2"/>
  <c r="AD30" i="2"/>
  <c r="AD72" i="2"/>
  <c r="AD64" i="2"/>
  <c r="AD12" i="2"/>
  <c r="AD8" i="2"/>
  <c r="AD24" i="2"/>
  <c r="AD16" i="2"/>
  <c r="AD76" i="2"/>
  <c r="AD17" i="2"/>
  <c r="AD45" i="2"/>
  <c r="AD19" i="2"/>
  <c r="AD55" i="2"/>
  <c r="AD18" i="2"/>
  <c r="AD9" i="2"/>
  <c r="AD7" i="2"/>
  <c r="AD43" i="2"/>
  <c r="AD26" i="2"/>
  <c r="AD57" i="2"/>
  <c r="AD77" i="2"/>
  <c r="AD27" i="2"/>
  <c r="AD66" i="2"/>
  <c r="AD58" i="2"/>
  <c r="AD44" i="2"/>
  <c r="AD28" i="2"/>
  <c r="AD20" i="2"/>
  <c r="AD74" i="2"/>
  <c r="AD68" i="2"/>
  <c r="AD42" i="2"/>
  <c r="AD59" i="2"/>
  <c r="AD4" i="2"/>
  <c r="AD37" i="2"/>
  <c r="AD33" i="2"/>
  <c r="AD32" i="2"/>
  <c r="AD38" i="2"/>
  <c r="AD36" i="2"/>
  <c r="AD34" i="2"/>
  <c r="AD35" i="2"/>
  <c r="AD39" i="2"/>
  <c r="AD31" i="2"/>
  <c r="AD41" i="2"/>
  <c r="R21" i="2" l="1"/>
  <c r="B24" i="3"/>
  <c r="AH81" i="2"/>
  <c r="R82" i="3" s="1"/>
  <c r="D31" i="3"/>
  <c r="AC40" i="2"/>
  <c r="AN160" i="2"/>
  <c r="AE40" i="2"/>
  <c r="AE81" i="2"/>
  <c r="AC81" i="2"/>
  <c r="AE50" i="2"/>
  <c r="AE62" i="2"/>
  <c r="AE71" i="2"/>
  <c r="AE51" i="2"/>
  <c r="AE63" i="2"/>
  <c r="AE70" i="2"/>
  <c r="AE48" i="2"/>
  <c r="AE60" i="2"/>
  <c r="AE53" i="2"/>
  <c r="AE54" i="2"/>
  <c r="AE49" i="2"/>
  <c r="AE69" i="2"/>
  <c r="AE75" i="2"/>
  <c r="AE65" i="2"/>
  <c r="AE52" i="2"/>
  <c r="AE56" i="2"/>
  <c r="AE80" i="2"/>
  <c r="AE61" i="2"/>
  <c r="AE78" i="2"/>
  <c r="AE79" i="2"/>
  <c r="AE73" i="2"/>
  <c r="AE46" i="2"/>
  <c r="AE3" i="2"/>
  <c r="AE15" i="2"/>
  <c r="AE44" i="2"/>
  <c r="AE55" i="2"/>
  <c r="AE28" i="2"/>
  <c r="AE18" i="2"/>
  <c r="AE13" i="2"/>
  <c r="AE17" i="2"/>
  <c r="AE45" i="2"/>
  <c r="AE74" i="2"/>
  <c r="AE76" i="2"/>
  <c r="AE19" i="2"/>
  <c r="AE29" i="2"/>
  <c r="AE25" i="2"/>
  <c r="AE11" i="2"/>
  <c r="AE5" i="2"/>
  <c r="AE68" i="2"/>
  <c r="AE58" i="2"/>
  <c r="AE72" i="2"/>
  <c r="AE22" i="2"/>
  <c r="AE24" i="2"/>
  <c r="AE16" i="2"/>
  <c r="AE9" i="2"/>
  <c r="AE43" i="2"/>
  <c r="AE7" i="2"/>
  <c r="AE26" i="2"/>
  <c r="AE6" i="2"/>
  <c r="AE10" i="2"/>
  <c r="AE21" i="2"/>
  <c r="AE8" i="2"/>
  <c r="AE67" i="2"/>
  <c r="AE57" i="2"/>
  <c r="AE20" i="2"/>
  <c r="AE64" i="2"/>
  <c r="AE12" i="2"/>
  <c r="AE77" i="2"/>
  <c r="AE47" i="2"/>
  <c r="AE42" i="2"/>
  <c r="AE27" i="2"/>
  <c r="AE30" i="2"/>
  <c r="AE23" i="2"/>
  <c r="AE14" i="2"/>
  <c r="AE66" i="2"/>
  <c r="AE4" i="2"/>
  <c r="AE59" i="2"/>
  <c r="AE32" i="2"/>
  <c r="AE38" i="2"/>
  <c r="AE34" i="2"/>
  <c r="AE33" i="2"/>
  <c r="AE36" i="2"/>
  <c r="AE37" i="2"/>
  <c r="AE31" i="2"/>
  <c r="AE35" i="2"/>
  <c r="AE39" i="2"/>
  <c r="AE41" i="2"/>
</calcChain>
</file>

<file path=xl/sharedStrings.xml><?xml version="1.0" encoding="utf-8"?>
<sst xmlns="http://schemas.openxmlformats.org/spreadsheetml/2006/main" count="585" uniqueCount="271">
  <si>
    <t>Far North District</t>
  </si>
  <si>
    <t>Kaipara District</t>
  </si>
  <si>
    <t>Whangarei District</t>
  </si>
  <si>
    <t>Auckland</t>
  </si>
  <si>
    <t>Hamilton City</t>
  </si>
  <si>
    <t>Hauraki District</t>
  </si>
  <si>
    <t>Matamata-Piako District</t>
  </si>
  <si>
    <t>Otorohanga District</t>
  </si>
  <si>
    <t>South Waikato District</t>
  </si>
  <si>
    <t>Taupo District</t>
  </si>
  <si>
    <t>Thames-Coromandel District</t>
  </si>
  <si>
    <t>Waikato District</t>
  </si>
  <si>
    <t>Waipa District</t>
  </si>
  <si>
    <t>Waitomo District</t>
  </si>
  <si>
    <t>Kawerau District</t>
  </si>
  <si>
    <t>Opotiki District</t>
  </si>
  <si>
    <t>Rotorua District</t>
  </si>
  <si>
    <t>Tauranga City</t>
  </si>
  <si>
    <t>Western Bay of Plenty District</t>
  </si>
  <si>
    <t>Gisborne District</t>
  </si>
  <si>
    <t>Central Hawke's Bay District</t>
  </si>
  <si>
    <t>Hastings District</t>
  </si>
  <si>
    <t>Napier City</t>
  </si>
  <si>
    <t>Wairoa District</t>
  </si>
  <si>
    <t>New Plymouth District</t>
  </si>
  <si>
    <t>South Taranaki District</t>
  </si>
  <si>
    <t>Stratford District</t>
  </si>
  <si>
    <t>Horowhenua District</t>
  </si>
  <si>
    <t>Manawatu District</t>
  </si>
  <si>
    <t>Palmerston North City</t>
  </si>
  <si>
    <t>Rangitikei District</t>
  </si>
  <si>
    <t>Ruapehu District</t>
  </si>
  <si>
    <t>Tararua District</t>
  </si>
  <si>
    <t>Wanganui District</t>
  </si>
  <si>
    <t>Carterton District</t>
  </si>
  <si>
    <t>Kapiti Coast District</t>
  </si>
  <si>
    <t>Lower Hutt City</t>
  </si>
  <si>
    <t>Masterton District</t>
  </si>
  <si>
    <t>Porirua City</t>
  </si>
  <si>
    <t>South Wairarapa District</t>
  </si>
  <si>
    <t>Upper Hutt City</t>
  </si>
  <si>
    <t>Wellington City</t>
  </si>
  <si>
    <t>Kaikoura District</t>
  </si>
  <si>
    <t>Marlborough District</t>
  </si>
  <si>
    <t>Nelson City</t>
  </si>
  <si>
    <t>Tasman District</t>
  </si>
  <si>
    <t>Ashburton District</t>
  </si>
  <si>
    <t>Christchurch City</t>
  </si>
  <si>
    <t>Hurunui District</t>
  </si>
  <si>
    <t>Mackenzie District</t>
  </si>
  <si>
    <t>Selwyn District</t>
  </si>
  <si>
    <t>Timaru District</t>
  </si>
  <si>
    <t>Waimakariri District</t>
  </si>
  <si>
    <t>Waimate District</t>
  </si>
  <si>
    <t>Buller District</t>
  </si>
  <si>
    <t>Grey District</t>
  </si>
  <si>
    <t>Westland District</t>
  </si>
  <si>
    <t>Central Otago District</t>
  </si>
  <si>
    <t>Clutha District</t>
  </si>
  <si>
    <t>Dunedin City</t>
  </si>
  <si>
    <t>Queenstown-Lakes District</t>
  </si>
  <si>
    <t>Waitaki District</t>
  </si>
  <si>
    <t>Gore District</t>
  </si>
  <si>
    <t>Invercargill City</t>
  </si>
  <si>
    <t>Southland District</t>
  </si>
  <si>
    <t>Chatham Islands Territory</t>
  </si>
  <si>
    <t>Northland Regional</t>
  </si>
  <si>
    <t>Waikato Regional</t>
  </si>
  <si>
    <t>Bay of Plenty Regional</t>
  </si>
  <si>
    <t>Hawkes Bay Regional</t>
  </si>
  <si>
    <t>Taranaki Regional</t>
  </si>
  <si>
    <t>Manawatu-Wanganui Regional</t>
  </si>
  <si>
    <t>Wellington Regional</t>
  </si>
  <si>
    <t>West Coast Regional</t>
  </si>
  <si>
    <t>Canterbury Regional</t>
  </si>
  <si>
    <t>Otago Regional</t>
  </si>
  <si>
    <t>Southland Regional</t>
  </si>
  <si>
    <t>Capital Value</t>
  </si>
  <si>
    <t>Source</t>
  </si>
  <si>
    <t>Date</t>
  </si>
  <si>
    <t>Quoteable Value</t>
  </si>
  <si>
    <t>Ministry of Health</t>
  </si>
  <si>
    <t>Rateable Units</t>
  </si>
  <si>
    <t>NZ Transport Agency</t>
  </si>
  <si>
    <t>NZ Index of Deprivation</t>
  </si>
  <si>
    <t>Match</t>
  </si>
  <si>
    <t>AO Code</t>
  </si>
  <si>
    <t>AO Name</t>
  </si>
  <si>
    <t>Weight</t>
  </si>
  <si>
    <t>NZ Dep</t>
  </si>
  <si>
    <t>Column</t>
  </si>
  <si>
    <t>Minimum</t>
  </si>
  <si>
    <t>Maximum</t>
  </si>
  <si>
    <t>Range</t>
  </si>
  <si>
    <t>Componet Weights</t>
  </si>
  <si>
    <t>Rank</t>
  </si>
  <si>
    <t>Order</t>
  </si>
  <si>
    <t xml:space="preserve">Normalised </t>
  </si>
  <si>
    <t>Combined</t>
  </si>
  <si>
    <t>Median</t>
  </si>
  <si>
    <t>Raw</t>
  </si>
  <si>
    <t>2009/10</t>
  </si>
  <si>
    <t>Total Cost</t>
  </si>
  <si>
    <t>NLTF</t>
  </si>
  <si>
    <t>Average FAR</t>
  </si>
  <si>
    <t>2010/11</t>
  </si>
  <si>
    <t>2011/12</t>
  </si>
  <si>
    <t>2012/13</t>
  </si>
  <si>
    <t>FAR</t>
  </si>
  <si>
    <t>Core</t>
  </si>
  <si>
    <t>Overall</t>
  </si>
  <si>
    <t>Future</t>
  </si>
  <si>
    <t>Local Share</t>
  </si>
  <si>
    <t>Future Financials</t>
  </si>
  <si>
    <t>Change</t>
  </si>
  <si>
    <t>Current</t>
  </si>
  <si>
    <t>Result</t>
  </si>
  <si>
    <t>Correction</t>
  </si>
  <si>
    <t>n</t>
  </si>
  <si>
    <t>y</t>
  </si>
  <si>
    <t>lists</t>
  </si>
  <si>
    <t>Initial</t>
  </si>
  <si>
    <t>Multiplier</t>
  </si>
  <si>
    <t>Approved Organisation</t>
  </si>
  <si>
    <t>match</t>
  </si>
  <si>
    <t>National</t>
  </si>
  <si>
    <t>2. FAR System settings</t>
  </si>
  <si>
    <t>New Zealand Transport Agency</t>
  </si>
  <si>
    <t>Centreline KM</t>
  </si>
  <si>
    <t>Centreline KM / Capital Value</t>
  </si>
  <si>
    <t>Interquartile range</t>
  </si>
  <si>
    <t>Change % AO</t>
  </si>
  <si>
    <t>Change % National</t>
  </si>
  <si>
    <t>Standard deviation</t>
  </si>
  <si>
    <t>Average</t>
  </si>
  <si>
    <t>Normalise</t>
  </si>
  <si>
    <t>AO</t>
  </si>
  <si>
    <t>Increase</t>
  </si>
  <si>
    <t>Decrease</t>
  </si>
  <si>
    <t>RC</t>
  </si>
  <si>
    <t>core</t>
  </si>
  <si>
    <t>overall</t>
  </si>
  <si>
    <t>natural</t>
  </si>
  <si>
    <t>Chathams</t>
  </si>
  <si>
    <t>Inputs</t>
  </si>
  <si>
    <t>Local road centreline kilometers</t>
  </si>
  <si>
    <t>Net equalised capital value</t>
  </si>
  <si>
    <t>Index of deprivation</t>
  </si>
  <si>
    <t>Recent NLTP</t>
  </si>
  <si>
    <t>Calculation</t>
  </si>
  <si>
    <t>Minimum FAR</t>
  </si>
  <si>
    <t>Maximum FAR</t>
  </si>
  <si>
    <t>Check difference</t>
  </si>
  <si>
    <t>Adjust multiplier when outside tolerance</t>
  </si>
  <si>
    <t>Overall national rate</t>
  </si>
  <si>
    <t>Maximum (Mainland)</t>
  </si>
  <si>
    <t>Maximum (off Mainland)</t>
  </si>
  <si>
    <t>4. Change multiplier to</t>
  </si>
  <si>
    <t xml:space="preserve">     get under 0.01% tolerance</t>
  </si>
  <si>
    <t>1. Inputs</t>
  </si>
  <si>
    <t>Number of rating units</t>
  </si>
  <si>
    <t>Overall co-investment rate</t>
  </si>
  <si>
    <t>Total cost of all activities for recent period</t>
  </si>
  <si>
    <t>Read Me</t>
  </si>
  <si>
    <t>3. Sort data</t>
  </si>
  <si>
    <t>Step 3. Sort ascending A3:B80 by column A</t>
  </si>
  <si>
    <t>Model sheet A3:B80</t>
  </si>
  <si>
    <t xml:space="preserve">for ease of presentation </t>
  </si>
  <si>
    <t>For easy reference</t>
  </si>
  <si>
    <t>2013/14</t>
  </si>
  <si>
    <t>2014/15</t>
  </si>
  <si>
    <t>2015/16</t>
  </si>
  <si>
    <t>2016/17</t>
  </si>
  <si>
    <t>FAR NORTH DISTRICT</t>
  </si>
  <si>
    <t>WHANGAREI DISTRICT</t>
  </si>
  <si>
    <t>KAIPARA DISTRICT</t>
  </si>
  <si>
    <t>HAURAKI DISTRICT</t>
  </si>
  <si>
    <t>WAIKATO DISTRICT</t>
  </si>
  <si>
    <t>HAMILTON CITY</t>
  </si>
  <si>
    <t>WAIPA DISTRICT</t>
  </si>
  <si>
    <t>OTOROHANGA DISTRICT</t>
  </si>
  <si>
    <t>SOUTH WAIKATO DISTRICT</t>
  </si>
  <si>
    <t>WAITOMO DISTRICT</t>
  </si>
  <si>
    <t>TAUPO DISTRICT</t>
  </si>
  <si>
    <t>TAURANGA CITY</t>
  </si>
  <si>
    <t>ROTORUA DISTRICT</t>
  </si>
  <si>
    <t>WHAKATANE DISTRICT</t>
  </si>
  <si>
    <t>KAWERAU DISTRICT</t>
  </si>
  <si>
    <t>OPOTIKI DISTRICT</t>
  </si>
  <si>
    <t>GISBORNE DISTRICT</t>
  </si>
  <si>
    <t>WAIROA DISTRICT</t>
  </si>
  <si>
    <t>HASTINGS DISTRICT</t>
  </si>
  <si>
    <t>NAPIER CITY</t>
  </si>
  <si>
    <t>NEW PLYMOUTH DISTRICT</t>
  </si>
  <si>
    <t>STRATFORD DISTRICT</t>
  </si>
  <si>
    <t>SOUTH TARANAKI DISTRICT</t>
  </si>
  <si>
    <t>RUAPEHU DISTRICT</t>
  </si>
  <si>
    <t>WANGANUI DISTRICT</t>
  </si>
  <si>
    <t>RANGITIKEI DISTRICT</t>
  </si>
  <si>
    <t>MANAWATU DISTRICT</t>
  </si>
  <si>
    <t>PALMERSTON NORTH CITY</t>
  </si>
  <si>
    <t>TARARUA DISTRICT</t>
  </si>
  <si>
    <t>HOROWHENUA DISTRICT</t>
  </si>
  <si>
    <t>KAPITI COAST DISTRICT</t>
  </si>
  <si>
    <t>PORIRUA CITY</t>
  </si>
  <si>
    <t>UPPER HUTT CITY</t>
  </si>
  <si>
    <t>WELLINGTON CITY</t>
  </si>
  <si>
    <t>MASTERTON DISTRICT</t>
  </si>
  <si>
    <t>CARTERTON DISTRICT</t>
  </si>
  <si>
    <t>SOUTH WAIRARAPA DISTRICT</t>
  </si>
  <si>
    <t>TASMAN DISTRICT</t>
  </si>
  <si>
    <t>NELSON CITY</t>
  </si>
  <si>
    <t>MARLBOROUGH DISTRICT</t>
  </si>
  <si>
    <t>KAIKOURA DISTRICT</t>
  </si>
  <si>
    <t>BULLER DISTRICT</t>
  </si>
  <si>
    <t>GREY DISTRICT</t>
  </si>
  <si>
    <t>WESTLAND DISTRICT</t>
  </si>
  <si>
    <t>HURUNUI DISTRICT</t>
  </si>
  <si>
    <t>WAIMAKARIRI DISTRICT</t>
  </si>
  <si>
    <t>CHRISTCHURCH CITY</t>
  </si>
  <si>
    <t>SELWYN DISTRICT</t>
  </si>
  <si>
    <t>ASHBURTON DISTRICT</t>
  </si>
  <si>
    <t>TIMARU DISTRICT</t>
  </si>
  <si>
    <t>MACKENZIE DISTRICT</t>
  </si>
  <si>
    <t>WAIMATE DISTRICT</t>
  </si>
  <si>
    <t>WAITAKI DISTRICT</t>
  </si>
  <si>
    <t>CENTRAL OTAGO DISTRICT</t>
  </si>
  <si>
    <t>DUNEDIN CITY</t>
  </si>
  <si>
    <t>CLUTHA DISTRICT</t>
  </si>
  <si>
    <t>SOUTHLAND DISTRICT</t>
  </si>
  <si>
    <t>GORE DISTRICT</t>
  </si>
  <si>
    <t>INVERCARGILL CITY</t>
  </si>
  <si>
    <t>TA_Name</t>
  </si>
  <si>
    <t>Net_Assmts 2014</t>
  </si>
  <si>
    <t>Net Capital Value 2014</t>
  </si>
  <si>
    <t>Net_Land_area 2014</t>
  </si>
  <si>
    <t>Net Equalised  Capital Value 2014</t>
  </si>
  <si>
    <t>Revision_Date</t>
  </si>
  <si>
    <t>Net_Assmts 2016</t>
  </si>
  <si>
    <t>Net Capital Value 2016</t>
  </si>
  <si>
    <t>Net_Land_area 2016</t>
  </si>
  <si>
    <t>Net Equalised  Capital Value 2016</t>
  </si>
  <si>
    <t>CHATHAM ISLANDS territory</t>
  </si>
  <si>
    <t>QUEENSTOWN-LAKES DISTrict</t>
  </si>
  <si>
    <t>lower HUTT CITY</t>
  </si>
  <si>
    <t>CENTRAL HAWKE'S BAY DISTrict</t>
  </si>
  <si>
    <t>WESTERN Bay Of Plenty DISTRICT</t>
  </si>
  <si>
    <t>THAMES-COROMANDEL DISTrict</t>
  </si>
  <si>
    <t>MATAMATA-PIAKO DISTRICT</t>
  </si>
  <si>
    <t>AUCKLAND</t>
  </si>
  <si>
    <t>rc</t>
  </si>
  <si>
    <t>Whakatane District</t>
  </si>
  <si>
    <t>Area</t>
  </si>
  <si>
    <t>MacKenzie District</t>
  </si>
  <si>
    <t>Chatham Islands territory</t>
  </si>
  <si>
    <t>lower Hutt City</t>
  </si>
  <si>
    <t>Organisation</t>
  </si>
  <si>
    <t>lower Hutt city</t>
  </si>
  <si>
    <t>2017/18</t>
  </si>
  <si>
    <t>End Transition</t>
  </si>
  <si>
    <t>Southland regional</t>
  </si>
  <si>
    <t>Canterbury regional</t>
  </si>
  <si>
    <t>Wellington regional</t>
  </si>
  <si>
    <t>Manawatu-wanganui regional</t>
  </si>
  <si>
    <t>2014 Board Approved FAR</t>
  </si>
  <si>
    <t>2013/17</t>
  </si>
  <si>
    <t>2013/17 Financials</t>
  </si>
  <si>
    <t>2017/18 FAR</t>
  </si>
  <si>
    <t>Normal FAR for 2018/21</t>
  </si>
  <si>
    <t xml:space="preserve"> March 2017</t>
  </si>
  <si>
    <t>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</si>
</sst>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b/>
      <sz val="12"/>
      <color theme="1"/>
      <name val="Lucida Sans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16" applyNumberFormat="0" applyAlignment="0" applyProtection="0"/>
    <xf numFmtId="0" fontId="8" fillId="0" borderId="0"/>
  </cellStyleXfs>
  <cellXfs count="109">
    <xf numFmtId="0" fontId="0" fillId="0" borderId="0" xfId="0"/>
    <xf numFmtId="0" fontId="0" fillId="0" borderId="0" xfId="0"/>
    <xf numFmtId="9" fontId="0" fillId="0" borderId="0" xfId="1" applyFont="1"/>
    <xf numFmtId="0" fontId="0" fillId="0" borderId="0" xfId="1" applyNumberFormat="1" applyFont="1"/>
    <xf numFmtId="1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9" fontId="0" fillId="0" borderId="0" xfId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9" fontId="0" fillId="0" borderId="0" xfId="0" applyNumberFormat="1" applyBorder="1"/>
    <xf numFmtId="0" fontId="0" fillId="0" borderId="8" xfId="0" applyBorder="1"/>
    <xf numFmtId="0" fontId="0" fillId="0" borderId="9" xfId="0" applyBorder="1"/>
    <xf numFmtId="9" fontId="0" fillId="0" borderId="5" xfId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Fill="1" applyBorder="1"/>
    <xf numFmtId="0" fontId="0" fillId="0" borderId="13" xfId="0" applyBorder="1"/>
    <xf numFmtId="0" fontId="0" fillId="0" borderId="10" xfId="1" applyNumberFormat="1" applyFont="1" applyBorder="1"/>
    <xf numFmtId="10" fontId="0" fillId="0" borderId="10" xfId="1" applyNumberFormat="1" applyFont="1" applyBorder="1"/>
    <xf numFmtId="9" fontId="0" fillId="0" borderId="4" xfId="1" applyFont="1" applyBorder="1"/>
    <xf numFmtId="9" fontId="0" fillId="0" borderId="12" xfId="1" applyFont="1" applyBorder="1"/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/>
    <xf numFmtId="0" fontId="0" fillId="0" borderId="0" xfId="0" applyNumberFormat="1"/>
    <xf numFmtId="0" fontId="0" fillId="0" borderId="4" xfId="0" applyFill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165" fontId="0" fillId="0" borderId="10" xfId="1" applyNumberFormat="1" applyFont="1" applyBorder="1"/>
    <xf numFmtId="165" fontId="0" fillId="0" borderId="12" xfId="1" applyNumberFormat="1" applyFont="1" applyBorder="1"/>
    <xf numFmtId="9" fontId="0" fillId="0" borderId="10" xfId="1" applyFont="1" applyBorder="1"/>
    <xf numFmtId="0" fontId="0" fillId="0" borderId="2" xfId="0" applyFill="1" applyBorder="1"/>
    <xf numFmtId="9" fontId="0" fillId="0" borderId="7" xfId="1" applyFont="1" applyBorder="1"/>
    <xf numFmtId="9" fontId="0" fillId="0" borderId="3" xfId="1" applyFont="1" applyBorder="1"/>
    <xf numFmtId="9" fontId="0" fillId="0" borderId="13" xfId="1" applyFont="1" applyBorder="1"/>
    <xf numFmtId="9" fontId="0" fillId="0" borderId="15" xfId="1" applyFont="1" applyBorder="1"/>
    <xf numFmtId="9" fontId="0" fillId="0" borderId="14" xfId="1" applyFont="1" applyBorder="1"/>
    <xf numFmtId="9" fontId="0" fillId="0" borderId="10" xfId="0" applyNumberFormat="1" applyBorder="1"/>
    <xf numFmtId="0" fontId="2" fillId="0" borderId="0" xfId="0" applyFont="1" applyProtection="1"/>
    <xf numFmtId="0" fontId="0" fillId="0" borderId="0" xfId="0" applyProtection="1"/>
    <xf numFmtId="164" fontId="2" fillId="0" borderId="0" xfId="0" quotePrefix="1" applyNumberFormat="1" applyFont="1" applyAlignment="1" applyProtection="1">
      <alignment horizontal="left"/>
    </xf>
    <xf numFmtId="0" fontId="6" fillId="0" borderId="0" xfId="2" applyFont="1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9" fontId="0" fillId="0" borderId="0" xfId="1" applyFont="1" applyProtection="1"/>
    <xf numFmtId="9" fontId="0" fillId="0" borderId="1" xfId="1" applyFont="1" applyBorder="1" applyProtection="1"/>
    <xf numFmtId="0" fontId="2" fillId="2" borderId="2" xfId="0" applyFont="1" applyFill="1" applyBorder="1" applyProtection="1"/>
    <xf numFmtId="0" fontId="2" fillId="2" borderId="8" xfId="0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0" fontId="0" fillId="0" borderId="3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2" borderId="4" xfId="0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0" fontId="0" fillId="0" borderId="7" xfId="0" applyBorder="1" applyProtection="1"/>
    <xf numFmtId="0" fontId="0" fillId="2" borderId="3" xfId="0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Alignment="1" applyProtection="1">
      <alignment horizontal="center"/>
    </xf>
    <xf numFmtId="0" fontId="0" fillId="0" borderId="14" xfId="0" applyBorder="1" applyProtection="1"/>
    <xf numFmtId="9" fontId="0" fillId="0" borderId="0" xfId="1" applyFont="1" applyFill="1" applyBorder="1" applyProtection="1"/>
    <xf numFmtId="0" fontId="2" fillId="0" borderId="2" xfId="0" applyFont="1" applyBorder="1" applyProtection="1"/>
    <xf numFmtId="0" fontId="2" fillId="0" borderId="4" xfId="0" applyFont="1" applyBorder="1" applyProtection="1"/>
    <xf numFmtId="10" fontId="0" fillId="0" borderId="5" xfId="1" applyNumberFormat="1" applyFont="1" applyBorder="1" applyProtection="1"/>
    <xf numFmtId="0" fontId="0" fillId="0" borderId="6" xfId="0" applyBorder="1" applyProtection="1"/>
    <xf numFmtId="0" fontId="0" fillId="0" borderId="7" xfId="0" applyBorder="1" applyAlignment="1" applyProtection="1">
      <alignment horizontal="right"/>
    </xf>
    <xf numFmtId="0" fontId="2" fillId="0" borderId="0" xfId="0" applyFont="1" applyBorder="1" applyProtection="1"/>
    <xf numFmtId="0" fontId="4" fillId="0" borderId="0" xfId="2" applyBorder="1" applyProtection="1"/>
    <xf numFmtId="9" fontId="0" fillId="0" borderId="0" xfId="0" applyNumberFormat="1" applyBorder="1" applyProtection="1"/>
    <xf numFmtId="9" fontId="7" fillId="3" borderId="16" xfId="3" applyNumberFormat="1" applyFont="1" applyProtection="1">
      <protection locked="0"/>
    </xf>
    <xf numFmtId="11" fontId="7" fillId="3" borderId="16" xfId="3" applyNumberFormat="1" applyFont="1" applyProtection="1">
      <protection locked="0"/>
    </xf>
    <xf numFmtId="0" fontId="7" fillId="3" borderId="16" xfId="3" applyFont="1" applyProtection="1">
      <protection locked="0"/>
    </xf>
    <xf numFmtId="0" fontId="7" fillId="3" borderId="16" xfId="3" applyNumberFormat="1" applyFont="1" applyProtection="1">
      <protection locked="0"/>
    </xf>
    <xf numFmtId="1" fontId="7" fillId="3" borderId="16" xfId="3" applyNumberFormat="1" applyFont="1" applyProtection="1">
      <protection locked="0"/>
    </xf>
    <xf numFmtId="0" fontId="9" fillId="0" borderId="0" xfId="4" applyFont="1"/>
    <xf numFmtId="0" fontId="10" fillId="0" borderId="0" xfId="4" applyFont="1"/>
    <xf numFmtId="0" fontId="4" fillId="0" borderId="0" xfId="2"/>
    <xf numFmtId="0" fontId="0" fillId="0" borderId="9" xfId="0" applyBorder="1" applyProtection="1"/>
    <xf numFmtId="1" fontId="0" fillId="2" borderId="0" xfId="0" applyNumberFormat="1" applyFill="1" applyBorder="1" applyAlignment="1" applyProtection="1">
      <alignment horizontal="left"/>
    </xf>
    <xf numFmtId="0" fontId="4" fillId="2" borderId="4" xfId="2" applyFill="1" applyBorder="1" applyProtection="1"/>
    <xf numFmtId="0" fontId="4" fillId="0" borderId="6" xfId="2" applyBorder="1" applyProtection="1"/>
    <xf numFmtId="0" fontId="2" fillId="0" borderId="13" xfId="0" applyFont="1" applyBorder="1" applyProtection="1"/>
    <xf numFmtId="0" fontId="4" fillId="0" borderId="15" xfId="2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2" xfId="0" applyFont="1" applyBorder="1" applyAlignment="1" applyProtection="1">
      <alignment horizontal="left" vertical="top" wrapText="1"/>
    </xf>
    <xf numFmtId="0" fontId="0" fillId="0" borderId="8" xfId="0" applyBorder="1" applyProtection="1"/>
    <xf numFmtId="0" fontId="2" fillId="0" borderId="8" xfId="0" applyFont="1" applyBorder="1" applyAlignment="1" applyProtection="1">
      <alignment horizontal="right" vertical="top"/>
    </xf>
    <xf numFmtId="0" fontId="2" fillId="0" borderId="3" xfId="0" applyFont="1" applyBorder="1" applyAlignment="1" applyProtection="1">
      <alignment horizontal="right" vertical="top"/>
    </xf>
    <xf numFmtId="9" fontId="0" fillId="0" borderId="9" xfId="1" applyFont="1" applyBorder="1" applyProtection="1"/>
    <xf numFmtId="9" fontId="0" fillId="0" borderId="7" xfId="1" applyFont="1" applyBorder="1" applyProtection="1"/>
    <xf numFmtId="0" fontId="5" fillId="3" borderId="17" xfId="3" applyBorder="1" applyProtection="1">
      <protection locked="0"/>
    </xf>
    <xf numFmtId="0" fontId="11" fillId="0" borderId="0" xfId="2" applyFont="1" applyBorder="1" applyProtection="1"/>
    <xf numFmtId="9" fontId="0" fillId="0" borderId="0" xfId="0" applyNumberFormat="1"/>
    <xf numFmtId="10" fontId="0" fillId="0" borderId="0" xfId="1" applyNumberFormat="1" applyFont="1"/>
    <xf numFmtId="0" fontId="0" fillId="0" borderId="0" xfId="0" quotePrefix="1"/>
  </cellXfs>
  <cellStyles count="5">
    <cellStyle name="Hyperlink" xfId="2" builtinId="8"/>
    <cellStyle name="Input" xfId="3" builtinId="20"/>
    <cellStyle name="Normal" xfId="0" builtinId="0"/>
    <cellStyle name="Normal 2" xfId="4"/>
    <cellStyle name="Percent" xfId="1" builtinId="5"/>
  </cellStyles>
  <dxfs count="14">
    <dxf>
      <font>
        <color rgb="FFFF0000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FF0000"/>
      </font>
    </dxf>
    <dxf>
      <font>
        <color rgb="FF00B050"/>
      </font>
    </dxf>
    <dxf>
      <font>
        <strike val="0"/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rgb="FFFF0000"/>
      </font>
    </dxf>
    <dxf>
      <font>
        <color rgb="FF00B050"/>
      </font>
    </dxf>
    <dxf>
      <font>
        <color rgb="FFC00000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5" Type="http://schemas.openxmlformats.org/officeDocument/2006/relationships/chartsheet" Target="chartsheets/sheet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2600896860986703"/>
          <c:y val="6.1694468286250949E-2"/>
          <c:w val="0.44921750934589333"/>
          <c:h val="0.8607091838638654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Model!$M$2</c:f>
              <c:strCache>
                <c:ptCount val="1"/>
                <c:pt idx="0">
                  <c:v>Centreline KM / Capital Value</c:v>
                </c:pt>
              </c:strCache>
            </c:strRef>
          </c:tx>
          <c:invertIfNegative val="0"/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Waitomo District</c:v>
                </c:pt>
                <c:pt idx="5">
                  <c:v>Ruapehu District</c:v>
                </c:pt>
                <c:pt idx="6">
                  <c:v>Gisborne District</c:v>
                </c:pt>
                <c:pt idx="7">
                  <c:v>Tararua District</c:v>
                </c:pt>
                <c:pt idx="8">
                  <c:v>Far North District</c:v>
                </c:pt>
                <c:pt idx="9">
                  <c:v>Buller District</c:v>
                </c:pt>
                <c:pt idx="10">
                  <c:v>Whakatane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Wanganui District</c:v>
                </c:pt>
                <c:pt idx="14">
                  <c:v>Kaipara District</c:v>
                </c:pt>
                <c:pt idx="15">
                  <c:v>Central Hawke's Bay District</c:v>
                </c:pt>
                <c:pt idx="16">
                  <c:v>West Coast Regional</c:v>
                </c:pt>
                <c:pt idx="17">
                  <c:v>Hauraki District</c:v>
                </c:pt>
                <c:pt idx="18">
                  <c:v>Waimate District</c:v>
                </c:pt>
                <c:pt idx="19">
                  <c:v>Westland District</c:v>
                </c:pt>
                <c:pt idx="20">
                  <c:v>Clutha District</c:v>
                </c:pt>
                <c:pt idx="21">
                  <c:v>Horowhenua District</c:v>
                </c:pt>
                <c:pt idx="22">
                  <c:v>Grey District</c:v>
                </c:pt>
                <c:pt idx="23">
                  <c:v>Otorohanga District</c:v>
                </c:pt>
                <c:pt idx="24">
                  <c:v>South Taranaki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Gore District</c:v>
                </c:pt>
                <c:pt idx="28">
                  <c:v>Porirua City</c:v>
                </c:pt>
                <c:pt idx="29">
                  <c:v>Rotorua District</c:v>
                </c:pt>
                <c:pt idx="30">
                  <c:v>Waitaki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Kaikoura District</c:v>
                </c:pt>
                <c:pt idx="38">
                  <c:v>Waikato District</c:v>
                </c:pt>
                <c:pt idx="39">
                  <c:v>Hawkes Bay Regional</c:v>
                </c:pt>
                <c:pt idx="40">
                  <c:v>Napier City</c:v>
                </c:pt>
                <c:pt idx="41">
                  <c:v>Taupo District</c:v>
                </c:pt>
                <c:pt idx="42">
                  <c:v>Thames-Coromandel District</c:v>
                </c:pt>
                <c:pt idx="43">
                  <c:v>Invercargill City</c:v>
                </c:pt>
                <c:pt idx="44">
                  <c:v>Mackenzie District</c:v>
                </c:pt>
                <c:pt idx="45">
                  <c:v>Southland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Timaru District</c:v>
                </c:pt>
                <c:pt idx="49">
                  <c:v>Taranaki Regional</c:v>
                </c:pt>
                <c:pt idx="50">
                  <c:v>Manawatu-Wanganui Regional</c:v>
                </c:pt>
                <c:pt idx="51">
                  <c:v>Southland District</c:v>
                </c:pt>
                <c:pt idx="52">
                  <c:v>Central Otago District</c:v>
                </c:pt>
                <c:pt idx="53">
                  <c:v>New Plymouth District</c:v>
                </c:pt>
                <c:pt idx="54">
                  <c:v>Lower Hutt City</c:v>
                </c:pt>
                <c:pt idx="55">
                  <c:v>Palmerston North City</c:v>
                </c:pt>
                <c:pt idx="56">
                  <c:v>Ashburton District</c:v>
                </c:pt>
                <c:pt idx="57">
                  <c:v>Hamilton City</c:v>
                </c:pt>
                <c:pt idx="58">
                  <c:v>Nelson City</c:v>
                </c:pt>
                <c:pt idx="59">
                  <c:v>Tasman District</c:v>
                </c:pt>
                <c:pt idx="60">
                  <c:v>Western Bay of Plenty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Marlborough District</c:v>
                </c:pt>
                <c:pt idx="64">
                  <c:v>Waipa District</c:v>
                </c:pt>
                <c:pt idx="65">
                  <c:v>Tauranga City</c:v>
                </c:pt>
                <c:pt idx="66">
                  <c:v>Waimakariri District</c:v>
                </c:pt>
                <c:pt idx="67">
                  <c:v>Kapiti Coast District</c:v>
                </c:pt>
                <c:pt idx="68">
                  <c:v>Bay of Plenty Regional</c:v>
                </c:pt>
                <c:pt idx="69">
                  <c:v>Otago Regional</c:v>
                </c:pt>
                <c:pt idx="70">
                  <c:v>Selwyn District</c:v>
                </c:pt>
                <c:pt idx="71">
                  <c:v>Wellington City</c:v>
                </c:pt>
                <c:pt idx="72">
                  <c:v>Queenstown-Lakes District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Model!$M$3:$M$80</c:f>
              <c:numCache>
                <c:formatCode>General</c:formatCode>
                <c:ptCount val="78"/>
                <c:pt idx="0">
                  <c:v>7.6914953957092616</c:v>
                </c:pt>
                <c:pt idx="1">
                  <c:v>2.867099589913698</c:v>
                </c:pt>
                <c:pt idx="2">
                  <c:v>1.0204044225374074</c:v>
                </c:pt>
                <c:pt idx="3">
                  <c:v>0.30145063111862247</c:v>
                </c:pt>
                <c:pt idx="4">
                  <c:v>2.1349934179966077</c:v>
                </c:pt>
                <c:pt idx="5">
                  <c:v>1.9788953739937347</c:v>
                </c:pt>
                <c:pt idx="6">
                  <c:v>1.0547548180422477</c:v>
                </c:pt>
                <c:pt idx="7">
                  <c:v>2.2566776281521062</c:v>
                </c:pt>
                <c:pt idx="8">
                  <c:v>1.0014326596501288</c:v>
                </c:pt>
                <c:pt idx="9">
                  <c:v>1.6135200988543437</c:v>
                </c:pt>
                <c:pt idx="10">
                  <c:v>0.62870875377729762</c:v>
                </c:pt>
                <c:pt idx="11">
                  <c:v>1.8788362608819202</c:v>
                </c:pt>
                <c:pt idx="12">
                  <c:v>0.4132856469283388</c:v>
                </c:pt>
                <c:pt idx="13">
                  <c:v>0.75229780900810683</c:v>
                </c:pt>
                <c:pt idx="14">
                  <c:v>1.2216696053443779</c:v>
                </c:pt>
                <c:pt idx="15">
                  <c:v>1.7218166295903614</c:v>
                </c:pt>
                <c:pt idx="16">
                  <c:v>1.5713071228367075</c:v>
                </c:pt>
                <c:pt idx="17">
                  <c:v>0.55572876069867927</c:v>
                </c:pt>
                <c:pt idx="18">
                  <c:v>1.7082162090840591</c:v>
                </c:pt>
                <c:pt idx="19">
                  <c:v>1.7132700741912541</c:v>
                </c:pt>
                <c:pt idx="20">
                  <c:v>2.2815703534868685</c:v>
                </c:pt>
                <c:pt idx="21">
                  <c:v>0.50106157633117099</c:v>
                </c:pt>
                <c:pt idx="22">
                  <c:v>1.4050260370906611</c:v>
                </c:pt>
                <c:pt idx="23">
                  <c:v>1.1279543706973387</c:v>
                </c:pt>
                <c:pt idx="24">
                  <c:v>0.86977216331030138</c:v>
                </c:pt>
                <c:pt idx="25">
                  <c:v>0.93439759997660388</c:v>
                </c:pt>
                <c:pt idx="26">
                  <c:v>1.1968607513228018</c:v>
                </c:pt>
                <c:pt idx="27">
                  <c:v>1.5458595638056702</c:v>
                </c:pt>
                <c:pt idx="28">
                  <c:v>9.0296924092707509E-2</c:v>
                </c:pt>
                <c:pt idx="29">
                  <c:v>0.34576685899340542</c:v>
                </c:pt>
                <c:pt idx="30">
                  <c:v>1.3839800519601257</c:v>
                </c:pt>
                <c:pt idx="31">
                  <c:v>0.48381257830963903</c:v>
                </c:pt>
                <c:pt idx="32">
                  <c:v>0.75673366152329102</c:v>
                </c:pt>
                <c:pt idx="33">
                  <c:v>0.43323411854536681</c:v>
                </c:pt>
                <c:pt idx="34">
                  <c:v>0.99719589018167165</c:v>
                </c:pt>
                <c:pt idx="35">
                  <c:v>1.1345679103457273</c:v>
                </c:pt>
                <c:pt idx="36">
                  <c:v>1.0549468790544387</c:v>
                </c:pt>
                <c:pt idx="37">
                  <c:v>0.76275628199594259</c:v>
                </c:pt>
                <c:pt idx="38">
                  <c:v>0.52842698838805735</c:v>
                </c:pt>
                <c:pt idx="39">
                  <c:v>0.63370045423183896</c:v>
                </c:pt>
                <c:pt idx="40">
                  <c:v>0.11469672755165916</c:v>
                </c:pt>
                <c:pt idx="41">
                  <c:v>0.24056728227128965</c:v>
                </c:pt>
                <c:pt idx="42">
                  <c:v>0.17532790159604428</c:v>
                </c:pt>
                <c:pt idx="43">
                  <c:v>0.41092488121357357</c:v>
                </c:pt>
                <c:pt idx="44">
                  <c:v>1.1533031030493879</c:v>
                </c:pt>
                <c:pt idx="45">
                  <c:v>1.2160296937445154</c:v>
                </c:pt>
                <c:pt idx="46">
                  <c:v>1.2665662331382488</c:v>
                </c:pt>
                <c:pt idx="47">
                  <c:v>0.39545888427475884</c:v>
                </c:pt>
                <c:pt idx="48">
                  <c:v>0.76487871785641426</c:v>
                </c:pt>
                <c:pt idx="49">
                  <c:v>0.58474950692833683</c:v>
                </c:pt>
                <c:pt idx="50">
                  <c:v>0.94384239859028762</c:v>
                </c:pt>
                <c:pt idx="51">
                  <c:v>1.4698724605810147</c:v>
                </c:pt>
                <c:pt idx="52">
                  <c:v>1.2317746873933428</c:v>
                </c:pt>
                <c:pt idx="53">
                  <c:v>0.33665158456224609</c:v>
                </c:pt>
                <c:pt idx="54">
                  <c:v>7.541652615149641E-2</c:v>
                </c:pt>
                <c:pt idx="55">
                  <c:v>0.180637629016143</c:v>
                </c:pt>
                <c:pt idx="56">
                  <c:v>0.88559616200268942</c:v>
                </c:pt>
                <c:pt idx="57">
                  <c:v>3.7405261239418452E-2</c:v>
                </c:pt>
                <c:pt idx="58">
                  <c:v>6.8139603053065323E-2</c:v>
                </c:pt>
                <c:pt idx="59">
                  <c:v>0.66147969764386083</c:v>
                </c:pt>
                <c:pt idx="60">
                  <c:v>0.24943284618512651</c:v>
                </c:pt>
                <c:pt idx="61">
                  <c:v>0.41828008022274243</c:v>
                </c:pt>
                <c:pt idx="62">
                  <c:v>0.11993281243384879</c:v>
                </c:pt>
                <c:pt idx="63">
                  <c:v>0.498245489243687</c:v>
                </c:pt>
                <c:pt idx="64">
                  <c:v>0.33822705464932823</c:v>
                </c:pt>
                <c:pt idx="65">
                  <c:v>9.990083962405194E-3</c:v>
                </c:pt>
                <c:pt idx="66">
                  <c:v>0.55599999272537681</c:v>
                </c:pt>
                <c:pt idx="67">
                  <c:v>0.12391349042327349</c:v>
                </c:pt>
                <c:pt idx="68">
                  <c:v>0.20273930560272158</c:v>
                </c:pt>
                <c:pt idx="69">
                  <c:v>0.69481717521172126</c:v>
                </c:pt>
                <c:pt idx="70">
                  <c:v>0.69750742156366508</c:v>
                </c:pt>
                <c:pt idx="71">
                  <c:v>1.4393927876500401E-3</c:v>
                </c:pt>
                <c:pt idx="72">
                  <c:v>0.11385810754194736</c:v>
                </c:pt>
                <c:pt idx="73">
                  <c:v>0.34241532920973927</c:v>
                </c:pt>
                <c:pt idx="74">
                  <c:v>7.4427892136423757E-2</c:v>
                </c:pt>
                <c:pt idx="75">
                  <c:v>0.13146170742836571</c:v>
                </c:pt>
                <c:pt idx="76">
                  <c:v>0.42059792828444736</c:v>
                </c:pt>
                <c:pt idx="77">
                  <c:v>0</c:v>
                </c:pt>
              </c:numCache>
            </c:numRef>
          </c:val>
        </c:ser>
        <c:ser>
          <c:idx val="2"/>
          <c:order val="1"/>
          <c:tx>
            <c:strRef>
              <c:f>Model!$K$2</c:f>
              <c:strCache>
                <c:ptCount val="1"/>
                <c:pt idx="0">
                  <c:v>Rateable Units</c:v>
                </c:pt>
              </c:strCache>
            </c:strRef>
          </c:tx>
          <c:invertIfNegative val="0"/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Waitomo District</c:v>
                </c:pt>
                <c:pt idx="5">
                  <c:v>Ruapehu District</c:v>
                </c:pt>
                <c:pt idx="6">
                  <c:v>Gisborne District</c:v>
                </c:pt>
                <c:pt idx="7">
                  <c:v>Tararua District</c:v>
                </c:pt>
                <c:pt idx="8">
                  <c:v>Far North District</c:v>
                </c:pt>
                <c:pt idx="9">
                  <c:v>Buller District</c:v>
                </c:pt>
                <c:pt idx="10">
                  <c:v>Whakatane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Wanganui District</c:v>
                </c:pt>
                <c:pt idx="14">
                  <c:v>Kaipara District</c:v>
                </c:pt>
                <c:pt idx="15">
                  <c:v>Central Hawke's Bay District</c:v>
                </c:pt>
                <c:pt idx="16">
                  <c:v>West Coast Regional</c:v>
                </c:pt>
                <c:pt idx="17">
                  <c:v>Hauraki District</c:v>
                </c:pt>
                <c:pt idx="18">
                  <c:v>Waimate District</c:v>
                </c:pt>
                <c:pt idx="19">
                  <c:v>Westland District</c:v>
                </c:pt>
                <c:pt idx="20">
                  <c:v>Clutha District</c:v>
                </c:pt>
                <c:pt idx="21">
                  <c:v>Horowhenua District</c:v>
                </c:pt>
                <c:pt idx="22">
                  <c:v>Grey District</c:v>
                </c:pt>
                <c:pt idx="23">
                  <c:v>Otorohanga District</c:v>
                </c:pt>
                <c:pt idx="24">
                  <c:v>South Taranaki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Gore District</c:v>
                </c:pt>
                <c:pt idx="28">
                  <c:v>Porirua City</c:v>
                </c:pt>
                <c:pt idx="29">
                  <c:v>Rotorua District</c:v>
                </c:pt>
                <c:pt idx="30">
                  <c:v>Waitaki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Kaikoura District</c:v>
                </c:pt>
                <c:pt idx="38">
                  <c:v>Waikato District</c:v>
                </c:pt>
                <c:pt idx="39">
                  <c:v>Hawkes Bay Regional</c:v>
                </c:pt>
                <c:pt idx="40">
                  <c:v>Napier City</c:v>
                </c:pt>
                <c:pt idx="41">
                  <c:v>Taupo District</c:v>
                </c:pt>
                <c:pt idx="42">
                  <c:v>Thames-Coromandel District</c:v>
                </c:pt>
                <c:pt idx="43">
                  <c:v>Invercargill City</c:v>
                </c:pt>
                <c:pt idx="44">
                  <c:v>Mackenzie District</c:v>
                </c:pt>
                <c:pt idx="45">
                  <c:v>Southland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Timaru District</c:v>
                </c:pt>
                <c:pt idx="49">
                  <c:v>Taranaki Regional</c:v>
                </c:pt>
                <c:pt idx="50">
                  <c:v>Manawatu-Wanganui Regional</c:v>
                </c:pt>
                <c:pt idx="51">
                  <c:v>Southland District</c:v>
                </c:pt>
                <c:pt idx="52">
                  <c:v>Central Otago District</c:v>
                </c:pt>
                <c:pt idx="53">
                  <c:v>New Plymouth District</c:v>
                </c:pt>
                <c:pt idx="54">
                  <c:v>Lower Hutt City</c:v>
                </c:pt>
                <c:pt idx="55">
                  <c:v>Palmerston North City</c:v>
                </c:pt>
                <c:pt idx="56">
                  <c:v>Ashburton District</c:v>
                </c:pt>
                <c:pt idx="57">
                  <c:v>Hamilton City</c:v>
                </c:pt>
                <c:pt idx="58">
                  <c:v>Nelson City</c:v>
                </c:pt>
                <c:pt idx="59">
                  <c:v>Tasman District</c:v>
                </c:pt>
                <c:pt idx="60">
                  <c:v>Western Bay of Plenty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Marlborough District</c:v>
                </c:pt>
                <c:pt idx="64">
                  <c:v>Waipa District</c:v>
                </c:pt>
                <c:pt idx="65">
                  <c:v>Tauranga City</c:v>
                </c:pt>
                <c:pt idx="66">
                  <c:v>Waimakariri District</c:v>
                </c:pt>
                <c:pt idx="67">
                  <c:v>Kapiti Coast District</c:v>
                </c:pt>
                <c:pt idx="68">
                  <c:v>Bay of Plenty Regional</c:v>
                </c:pt>
                <c:pt idx="69">
                  <c:v>Otago Regional</c:v>
                </c:pt>
                <c:pt idx="70">
                  <c:v>Selwyn District</c:v>
                </c:pt>
                <c:pt idx="71">
                  <c:v>Wellington City</c:v>
                </c:pt>
                <c:pt idx="72">
                  <c:v>Queenstown-Lakes District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Model!$K$3:$K$80</c:f>
              <c:numCache>
                <c:formatCode>General</c:formatCode>
                <c:ptCount val="78"/>
                <c:pt idx="0">
                  <c:v>7.1671540348313227</c:v>
                </c:pt>
                <c:pt idx="1">
                  <c:v>7.0859878127249365</c:v>
                </c:pt>
                <c:pt idx="2">
                  <c:v>7.1001310202367156</c:v>
                </c:pt>
                <c:pt idx="3">
                  <c:v>7.1358034811888462</c:v>
                </c:pt>
                <c:pt idx="4">
                  <c:v>7.1000373566108097</c:v>
                </c:pt>
                <c:pt idx="5">
                  <c:v>7.0544365513126621</c:v>
                </c:pt>
                <c:pt idx="6">
                  <c:v>6.8560436111261485</c:v>
                </c:pt>
                <c:pt idx="7">
                  <c:v>7.0330411030521756</c:v>
                </c:pt>
                <c:pt idx="8">
                  <c:v>6.6893491180497628</c:v>
                </c:pt>
                <c:pt idx="9">
                  <c:v>7.0765946890983811</c:v>
                </c:pt>
                <c:pt idx="10">
                  <c:v>6.964412426299182</c:v>
                </c:pt>
                <c:pt idx="11">
                  <c:v>7.0669339551120958</c:v>
                </c:pt>
                <c:pt idx="12">
                  <c:v>7.0406679983045066</c:v>
                </c:pt>
                <c:pt idx="13">
                  <c:v>6.8962386871577319</c:v>
                </c:pt>
                <c:pt idx="14">
                  <c:v>6.9814324451780685</c:v>
                </c:pt>
                <c:pt idx="15">
                  <c:v>7.0767552553142199</c:v>
                </c:pt>
                <c:pt idx="16">
                  <c:v>6.875191132364896</c:v>
                </c:pt>
                <c:pt idx="17">
                  <c:v>7.0296825930375526</c:v>
                </c:pt>
                <c:pt idx="18">
                  <c:v>7.1174587910292919</c:v>
                </c:pt>
                <c:pt idx="19">
                  <c:v>7.0868575463940617</c:v>
                </c:pt>
                <c:pt idx="20">
                  <c:v>7.0147499349645672</c:v>
                </c:pt>
                <c:pt idx="21">
                  <c:v>6.9406753873910505</c:v>
                </c:pt>
                <c:pt idx="22">
                  <c:v>7.0609528635721093</c:v>
                </c:pt>
                <c:pt idx="23">
                  <c:v>7.108453702424347</c:v>
                </c:pt>
                <c:pt idx="24">
                  <c:v>6.985272653840207</c:v>
                </c:pt>
                <c:pt idx="25">
                  <c:v>7.0108294431945097</c:v>
                </c:pt>
                <c:pt idx="26">
                  <c:v>7.1080924284387104</c:v>
                </c:pt>
                <c:pt idx="27">
                  <c:v>7.0865765555163449</c:v>
                </c:pt>
                <c:pt idx="28">
                  <c:v>6.9272413473325587</c:v>
                </c:pt>
                <c:pt idx="29">
                  <c:v>6.7805908702000179</c:v>
                </c:pt>
                <c:pt idx="30">
                  <c:v>6.9903171091211345</c:v>
                </c:pt>
                <c:pt idx="31">
                  <c:v>6.7633433825153606</c:v>
                </c:pt>
                <c:pt idx="32">
                  <c:v>5.9493529513218393</c:v>
                </c:pt>
                <c:pt idx="33">
                  <c:v>6.6277853547936658</c:v>
                </c:pt>
                <c:pt idx="34">
                  <c:v>6.9932742035961617</c:v>
                </c:pt>
                <c:pt idx="35">
                  <c:v>7.1131636447556108</c:v>
                </c:pt>
                <c:pt idx="36">
                  <c:v>7.0873124840056043</c:v>
                </c:pt>
                <c:pt idx="37">
                  <c:v>7.1352682604693847</c:v>
                </c:pt>
                <c:pt idx="38">
                  <c:v>6.7654842653932077</c:v>
                </c:pt>
                <c:pt idx="39">
                  <c:v>6.2395362448960556</c:v>
                </c:pt>
                <c:pt idx="40">
                  <c:v>6.8372707443910254</c:v>
                </c:pt>
                <c:pt idx="41">
                  <c:v>6.8755657868685187</c:v>
                </c:pt>
                <c:pt idx="42">
                  <c:v>6.8104829473819608</c:v>
                </c:pt>
                <c:pt idx="43">
                  <c:v>6.8376186378586752</c:v>
                </c:pt>
                <c:pt idx="44">
                  <c:v>7.1154383328133237</c:v>
                </c:pt>
                <c:pt idx="45">
                  <c:v>6.4976731978924951</c:v>
                </c:pt>
                <c:pt idx="46">
                  <c:v>7.0690748379899428</c:v>
                </c:pt>
                <c:pt idx="47">
                  <c:v>6.9822486567752478</c:v>
                </c:pt>
                <c:pt idx="48">
                  <c:v>6.8808912330271639</c:v>
                </c:pt>
                <c:pt idx="49">
                  <c:v>6.4539991871844107</c:v>
                </c:pt>
                <c:pt idx="50">
                  <c:v>5.6811939903534769</c:v>
                </c:pt>
                <c:pt idx="51">
                  <c:v>6.9226919712171329</c:v>
                </c:pt>
                <c:pt idx="52">
                  <c:v>6.9969538460424614</c:v>
                </c:pt>
                <c:pt idx="53">
                  <c:v>6.7098480716051503</c:v>
                </c:pt>
                <c:pt idx="54">
                  <c:v>6.6438018348235612</c:v>
                </c:pt>
                <c:pt idx="55">
                  <c:v>6.744236002830573</c:v>
                </c:pt>
                <c:pt idx="56">
                  <c:v>6.9713970566881596</c:v>
                </c:pt>
                <c:pt idx="57">
                  <c:v>6.4066990561019717</c:v>
                </c:pt>
                <c:pt idx="58">
                  <c:v>6.8866314752433926</c:v>
                </c:pt>
                <c:pt idx="59">
                  <c:v>6.864178966061969</c:v>
                </c:pt>
                <c:pt idx="60">
                  <c:v>6.865369832162771</c:v>
                </c:pt>
                <c:pt idx="61">
                  <c:v>6.4545879299758182</c:v>
                </c:pt>
                <c:pt idx="62">
                  <c:v>6.952236154931426</c:v>
                </c:pt>
                <c:pt idx="63">
                  <c:v>6.8232212005051522</c:v>
                </c:pt>
                <c:pt idx="64">
                  <c:v>6.8946865470712924</c:v>
                </c:pt>
                <c:pt idx="65">
                  <c:v>6.445917354320537</c:v>
                </c:pt>
                <c:pt idx="66">
                  <c:v>6.8410440504632311</c:v>
                </c:pt>
                <c:pt idx="67">
                  <c:v>6.8451384889671143</c:v>
                </c:pt>
                <c:pt idx="68">
                  <c:v>5.419190067658926</c:v>
                </c:pt>
                <c:pt idx="69">
                  <c:v>5.6182252727087931</c:v>
                </c:pt>
                <c:pt idx="70">
                  <c:v>6.856525309773664</c:v>
                </c:pt>
                <c:pt idx="71">
                  <c:v>6.1402126598819269</c:v>
                </c:pt>
                <c:pt idx="72">
                  <c:v>6.8600443860041258</c:v>
                </c:pt>
                <c:pt idx="73">
                  <c:v>4.4425460598209554</c:v>
                </c:pt>
                <c:pt idx="74">
                  <c:v>4.9051908497237591</c:v>
                </c:pt>
                <c:pt idx="75">
                  <c:v>4.4976871744435103</c:v>
                </c:pt>
                <c:pt idx="76">
                  <c:v>3.4954328551792915</c:v>
                </c:pt>
                <c:pt idx="77">
                  <c:v>0</c:v>
                </c:pt>
              </c:numCache>
            </c:numRef>
          </c:val>
        </c:ser>
        <c:ser>
          <c:idx val="5"/>
          <c:order val="2"/>
          <c:tx>
            <c:strRef>
              <c:f>Model!$L$2</c:f>
              <c:strCache>
                <c:ptCount val="1"/>
                <c:pt idx="0">
                  <c:v>NZ Dep</c:v>
                </c:pt>
              </c:strCache>
            </c:strRef>
          </c:tx>
          <c:invertIfNegative val="0"/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Waitomo District</c:v>
                </c:pt>
                <c:pt idx="5">
                  <c:v>Ruapehu District</c:v>
                </c:pt>
                <c:pt idx="6">
                  <c:v>Gisborne District</c:v>
                </c:pt>
                <c:pt idx="7">
                  <c:v>Tararua District</c:v>
                </c:pt>
                <c:pt idx="8">
                  <c:v>Far North District</c:v>
                </c:pt>
                <c:pt idx="9">
                  <c:v>Buller District</c:v>
                </c:pt>
                <c:pt idx="10">
                  <c:v>Whakatane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Wanganui District</c:v>
                </c:pt>
                <c:pt idx="14">
                  <c:v>Kaipara District</c:v>
                </c:pt>
                <c:pt idx="15">
                  <c:v>Central Hawke's Bay District</c:v>
                </c:pt>
                <c:pt idx="16">
                  <c:v>West Coast Regional</c:v>
                </c:pt>
                <c:pt idx="17">
                  <c:v>Hauraki District</c:v>
                </c:pt>
                <c:pt idx="18">
                  <c:v>Waimate District</c:v>
                </c:pt>
                <c:pt idx="19">
                  <c:v>Westland District</c:v>
                </c:pt>
                <c:pt idx="20">
                  <c:v>Clutha District</c:v>
                </c:pt>
                <c:pt idx="21">
                  <c:v>Horowhenua District</c:v>
                </c:pt>
                <c:pt idx="22">
                  <c:v>Grey District</c:v>
                </c:pt>
                <c:pt idx="23">
                  <c:v>Otorohanga District</c:v>
                </c:pt>
                <c:pt idx="24">
                  <c:v>South Taranaki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Gore District</c:v>
                </c:pt>
                <c:pt idx="28">
                  <c:v>Porirua City</c:v>
                </c:pt>
                <c:pt idx="29">
                  <c:v>Rotorua District</c:v>
                </c:pt>
                <c:pt idx="30">
                  <c:v>Waitaki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Kaikoura District</c:v>
                </c:pt>
                <c:pt idx="38">
                  <c:v>Waikato District</c:v>
                </c:pt>
                <c:pt idx="39">
                  <c:v>Hawkes Bay Regional</c:v>
                </c:pt>
                <c:pt idx="40">
                  <c:v>Napier City</c:v>
                </c:pt>
                <c:pt idx="41">
                  <c:v>Taupo District</c:v>
                </c:pt>
                <c:pt idx="42">
                  <c:v>Thames-Coromandel District</c:v>
                </c:pt>
                <c:pt idx="43">
                  <c:v>Invercargill City</c:v>
                </c:pt>
                <c:pt idx="44">
                  <c:v>Mackenzie District</c:v>
                </c:pt>
                <c:pt idx="45">
                  <c:v>Southland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Timaru District</c:v>
                </c:pt>
                <c:pt idx="49">
                  <c:v>Taranaki Regional</c:v>
                </c:pt>
                <c:pt idx="50">
                  <c:v>Manawatu-Wanganui Regional</c:v>
                </c:pt>
                <c:pt idx="51">
                  <c:v>Southland District</c:v>
                </c:pt>
                <c:pt idx="52">
                  <c:v>Central Otago District</c:v>
                </c:pt>
                <c:pt idx="53">
                  <c:v>New Plymouth District</c:v>
                </c:pt>
                <c:pt idx="54">
                  <c:v>Lower Hutt City</c:v>
                </c:pt>
                <c:pt idx="55">
                  <c:v>Palmerston North City</c:v>
                </c:pt>
                <c:pt idx="56">
                  <c:v>Ashburton District</c:v>
                </c:pt>
                <c:pt idx="57">
                  <c:v>Hamilton City</c:v>
                </c:pt>
                <c:pt idx="58">
                  <c:v>Nelson City</c:v>
                </c:pt>
                <c:pt idx="59">
                  <c:v>Tasman District</c:v>
                </c:pt>
                <c:pt idx="60">
                  <c:v>Western Bay of Plenty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Marlborough District</c:v>
                </c:pt>
                <c:pt idx="64">
                  <c:v>Waipa District</c:v>
                </c:pt>
                <c:pt idx="65">
                  <c:v>Tauranga City</c:v>
                </c:pt>
                <c:pt idx="66">
                  <c:v>Waimakariri District</c:v>
                </c:pt>
                <c:pt idx="67">
                  <c:v>Kapiti Coast District</c:v>
                </c:pt>
                <c:pt idx="68">
                  <c:v>Bay of Plenty Regional</c:v>
                </c:pt>
                <c:pt idx="69">
                  <c:v>Otago Regional</c:v>
                </c:pt>
                <c:pt idx="70">
                  <c:v>Selwyn District</c:v>
                </c:pt>
                <c:pt idx="71">
                  <c:v>Wellington City</c:v>
                </c:pt>
                <c:pt idx="72">
                  <c:v>Queenstown-Lakes District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Model!$L$3:$L$80</c:f>
              <c:numCache>
                <c:formatCode>General</c:formatCode>
                <c:ptCount val="78"/>
                <c:pt idx="0">
                  <c:v>1.3256013130762263</c:v>
                </c:pt>
                <c:pt idx="1">
                  <c:v>4.2755811021051517</c:v>
                </c:pt>
                <c:pt idx="2">
                  <c:v>5.3870597511770937</c:v>
                </c:pt>
                <c:pt idx="3">
                  <c:v>5.4602951631888734</c:v>
                </c:pt>
                <c:pt idx="4">
                  <c:v>3.1423954301175319</c:v>
                </c:pt>
                <c:pt idx="5">
                  <c:v>3.3039695432966987</c:v>
                </c:pt>
                <c:pt idx="6">
                  <c:v>3.7542648659272251</c:v>
                </c:pt>
                <c:pt idx="7">
                  <c:v>2.1350259239059692</c:v>
                </c:pt>
                <c:pt idx="8">
                  <c:v>3.7284783164092996</c:v>
                </c:pt>
                <c:pt idx="9">
                  <c:v>2.6722100498068917</c:v>
                </c:pt>
                <c:pt idx="10">
                  <c:v>3.481540429991326</c:v>
                </c:pt>
                <c:pt idx="11">
                  <c:v>2.0412378396600852</c:v>
                </c:pt>
                <c:pt idx="12">
                  <c:v>3.3354723172135081</c:v>
                </c:pt>
                <c:pt idx="13">
                  <c:v>3.0024479232727024</c:v>
                </c:pt>
                <c:pt idx="14">
                  <c:v>2.388092203695833</c:v>
                </c:pt>
                <c:pt idx="15">
                  <c:v>1.7482563398859388</c:v>
                </c:pt>
                <c:pt idx="16">
                  <c:v>2.0541231572458938</c:v>
                </c:pt>
                <c:pt idx="17">
                  <c:v>2.8706737954293513</c:v>
                </c:pt>
                <c:pt idx="18">
                  <c:v>1.6143829053151926</c:v>
                </c:pt>
                <c:pt idx="19">
                  <c:v>1.6380852208052434</c:v>
                </c:pt>
                <c:pt idx="20">
                  <c:v>1.1307418255172705</c:v>
                </c:pt>
                <c:pt idx="21">
                  <c:v>2.9622510581798052</c:v>
                </c:pt>
                <c:pt idx="22">
                  <c:v>1.8581122791897382</c:v>
                </c:pt>
                <c:pt idx="23">
                  <c:v>2.0236348011640222</c:v>
                </c:pt>
                <c:pt idx="24">
                  <c:v>2.3192258794969867</c:v>
                </c:pt>
                <c:pt idx="25">
                  <c:v>2.2132550871240366</c:v>
                </c:pt>
                <c:pt idx="26">
                  <c:v>1.8238000763940028</c:v>
                </c:pt>
                <c:pt idx="27">
                  <c:v>1.2671722898452429</c:v>
                </c:pt>
                <c:pt idx="28">
                  <c:v>2.8738673870091302</c:v>
                </c:pt>
                <c:pt idx="29">
                  <c:v>2.7257600164077602</c:v>
                </c:pt>
                <c:pt idx="30">
                  <c:v>1.4698572391500813</c:v>
                </c:pt>
                <c:pt idx="31">
                  <c:v>2.4061742116035898</c:v>
                </c:pt>
                <c:pt idx="32">
                  <c:v>2.9147380610779354</c:v>
                </c:pt>
                <c:pt idx="33">
                  <c:v>2.4321290814027487</c:v>
                </c:pt>
                <c:pt idx="34">
                  <c:v>1.5007292263365135</c:v>
                </c:pt>
                <c:pt idx="35">
                  <c:v>1.2133472212513556</c:v>
                </c:pt>
                <c:pt idx="36">
                  <c:v>1.288192739284248</c:v>
                </c:pt>
                <c:pt idx="37">
                  <c:v>1.4158477970002723</c:v>
                </c:pt>
                <c:pt idx="38">
                  <c:v>2.0138374972278728</c:v>
                </c:pt>
                <c:pt idx="39">
                  <c:v>2.3652038323015212</c:v>
                </c:pt>
                <c:pt idx="40">
                  <c:v>2.2512426815798627</c:v>
                </c:pt>
                <c:pt idx="41">
                  <c:v>2.0125561278327813</c:v>
                </c:pt>
                <c:pt idx="42">
                  <c:v>2.1364391056532313</c:v>
                </c:pt>
                <c:pt idx="43">
                  <c:v>1.8683422783811903</c:v>
                </c:pt>
                <c:pt idx="44">
                  <c:v>0.83171297036494196</c:v>
                </c:pt>
                <c:pt idx="45">
                  <c:v>1.3596960855399778</c:v>
                </c:pt>
                <c:pt idx="46">
                  <c:v>0.73440899959686678</c:v>
                </c:pt>
                <c:pt idx="47">
                  <c:v>1.5978772278511766</c:v>
                </c:pt>
                <c:pt idx="48">
                  <c:v>1.3293869338405861</c:v>
                </c:pt>
                <c:pt idx="49">
                  <c:v>1.8995056683988001</c:v>
                </c:pt>
                <c:pt idx="50">
                  <c:v>2.3029544772701058</c:v>
                </c:pt>
                <c:pt idx="51">
                  <c:v>0.51120211057061948</c:v>
                </c:pt>
                <c:pt idx="52">
                  <c:v>0.65126711470739185</c:v>
                </c:pt>
                <c:pt idx="53">
                  <c:v>1.7478960708404836</c:v>
                </c:pt>
                <c:pt idx="54">
                  <c:v>2.064768650472395</c:v>
                </c:pt>
                <c:pt idx="55">
                  <c:v>1.7945788067592614</c:v>
                </c:pt>
                <c:pt idx="56">
                  <c:v>0.82462503177468771</c:v>
                </c:pt>
                <c:pt idx="57">
                  <c:v>2.1768524383591323</c:v>
                </c:pt>
                <c:pt idx="58">
                  <c:v>1.6342163519242485</c:v>
                </c:pt>
                <c:pt idx="59">
                  <c:v>1.0610499421228003</c:v>
                </c:pt>
                <c:pt idx="60">
                  <c:v>1.4693553815222573</c:v>
                </c:pt>
                <c:pt idx="61">
                  <c:v>1.6938814196116838</c:v>
                </c:pt>
                <c:pt idx="62">
                  <c:v>1.35634716563963</c:v>
                </c:pt>
                <c:pt idx="63">
                  <c:v>1.0769979590799488</c:v>
                </c:pt>
                <c:pt idx="64">
                  <c:v>1.076558999649551</c:v>
                </c:pt>
                <c:pt idx="65">
                  <c:v>1.6741267772590169</c:v>
                </c:pt>
                <c:pt idx="66">
                  <c:v>0.63561226547091865</c:v>
                </c:pt>
                <c:pt idx="67">
                  <c:v>0.94281480533484707</c:v>
                </c:pt>
                <c:pt idx="68">
                  <c:v>2.245315205397524</c:v>
                </c:pt>
                <c:pt idx="69">
                  <c:v>1.339400460386345</c:v>
                </c:pt>
                <c:pt idx="70">
                  <c:v>0</c:v>
                </c:pt>
                <c:pt idx="71">
                  <c:v>1.0040172383309152</c:v>
                </c:pt>
                <c:pt idx="72">
                  <c:v>0.15368134448465076</c:v>
                </c:pt>
                <c:pt idx="73">
                  <c:v>2.1833404871745228</c:v>
                </c:pt>
                <c:pt idx="74">
                  <c:v>1.5522785587755084</c:v>
                </c:pt>
                <c:pt idx="75">
                  <c:v>1.5300625390689384</c:v>
                </c:pt>
                <c:pt idx="76">
                  <c:v>1.3060135931929595</c:v>
                </c:pt>
                <c:pt idx="77">
                  <c:v>1.8610908057145732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3556736"/>
        <c:axId val="73558272"/>
      </c:barChart>
      <c:catAx>
        <c:axId val="73556736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558272"/>
        <c:crosses val="autoZero"/>
        <c:auto val="1"/>
        <c:lblAlgn val="ctr"/>
        <c:lblOffset val="100"/>
        <c:tickLblSkip val="1"/>
        <c:noMultiLvlLbl val="0"/>
      </c:catAx>
      <c:valAx>
        <c:axId val="735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Combined factor</a:t>
                </a:r>
                <a:r>
                  <a:rPr lang="en-NZ" baseline="0"/>
                  <a:t> </a:t>
                </a:r>
                <a:r>
                  <a:rPr lang="en-NZ"/>
                  <a:t>weights</a:t>
                </a:r>
              </a:p>
            </c:rich>
          </c:tx>
          <c:layout>
            <c:manualLayout>
              <c:xMode val="edge"/>
              <c:yMode val="edge"/>
              <c:x val="0.34987048673930077"/>
              <c:y val="0.943767208175321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crossAx val="73556736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31746041081935666"/>
          <c:y val="2.3163950735345159E-3"/>
          <c:w val="0.68253958918064339"/>
          <c:h val="5.7841702206421063E-2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 alignWithMargins="0"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9832249229716E-2"/>
          <c:y val="2.3696592229250028E-2"/>
          <c:w val="0.81550747460915207"/>
          <c:h val="0.89992201282216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Model!$T$2</c:f>
              <c:strCache>
                <c:ptCount val="1"/>
                <c:pt idx="0">
                  <c:v>Current</c:v>
                </c:pt>
              </c:strCache>
            </c:strRef>
          </c:tx>
          <c:spPr>
            <a:noFill/>
            <a:ln>
              <a:solidFill>
                <a:schemeClr val="tx2"/>
              </a:solidFill>
            </a:ln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Waitomo District</c:v>
                </c:pt>
                <c:pt idx="5">
                  <c:v>Ruapehu District</c:v>
                </c:pt>
                <c:pt idx="6">
                  <c:v>Gisborne District</c:v>
                </c:pt>
                <c:pt idx="7">
                  <c:v>Tararua District</c:v>
                </c:pt>
                <c:pt idx="8">
                  <c:v>Far North District</c:v>
                </c:pt>
                <c:pt idx="9">
                  <c:v>Buller District</c:v>
                </c:pt>
                <c:pt idx="10">
                  <c:v>Whakatane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Wanganui District</c:v>
                </c:pt>
                <c:pt idx="14">
                  <c:v>Kaipara District</c:v>
                </c:pt>
                <c:pt idx="15">
                  <c:v>Central Hawke's Bay District</c:v>
                </c:pt>
                <c:pt idx="16">
                  <c:v>West Coast Regional</c:v>
                </c:pt>
                <c:pt idx="17">
                  <c:v>Hauraki District</c:v>
                </c:pt>
                <c:pt idx="18">
                  <c:v>Waimate District</c:v>
                </c:pt>
                <c:pt idx="19">
                  <c:v>Westland District</c:v>
                </c:pt>
                <c:pt idx="20">
                  <c:v>Clutha District</c:v>
                </c:pt>
                <c:pt idx="21">
                  <c:v>Horowhenua District</c:v>
                </c:pt>
                <c:pt idx="22">
                  <c:v>Grey District</c:v>
                </c:pt>
                <c:pt idx="23">
                  <c:v>Otorohanga District</c:v>
                </c:pt>
                <c:pt idx="24">
                  <c:v>South Taranaki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Gore District</c:v>
                </c:pt>
                <c:pt idx="28">
                  <c:v>Porirua City</c:v>
                </c:pt>
                <c:pt idx="29">
                  <c:v>Rotorua District</c:v>
                </c:pt>
                <c:pt idx="30">
                  <c:v>Waitaki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Kaikoura District</c:v>
                </c:pt>
                <c:pt idx="38">
                  <c:v>Waikato District</c:v>
                </c:pt>
                <c:pt idx="39">
                  <c:v>Hawkes Bay Regional</c:v>
                </c:pt>
                <c:pt idx="40">
                  <c:v>Napier City</c:v>
                </c:pt>
                <c:pt idx="41">
                  <c:v>Taupo District</c:v>
                </c:pt>
                <c:pt idx="42">
                  <c:v>Thames-Coromandel District</c:v>
                </c:pt>
                <c:pt idx="43">
                  <c:v>Invercargill City</c:v>
                </c:pt>
                <c:pt idx="44">
                  <c:v>Mackenzie District</c:v>
                </c:pt>
                <c:pt idx="45">
                  <c:v>Southland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Timaru District</c:v>
                </c:pt>
                <c:pt idx="49">
                  <c:v>Taranaki Regional</c:v>
                </c:pt>
                <c:pt idx="50">
                  <c:v>Manawatu-Wanganui Regional</c:v>
                </c:pt>
                <c:pt idx="51">
                  <c:v>Southland District</c:v>
                </c:pt>
                <c:pt idx="52">
                  <c:v>Central Otago District</c:v>
                </c:pt>
                <c:pt idx="53">
                  <c:v>New Plymouth District</c:v>
                </c:pt>
                <c:pt idx="54">
                  <c:v>Lower Hutt City</c:v>
                </c:pt>
                <c:pt idx="55">
                  <c:v>Palmerston North City</c:v>
                </c:pt>
                <c:pt idx="56">
                  <c:v>Ashburton District</c:v>
                </c:pt>
                <c:pt idx="57">
                  <c:v>Hamilton City</c:v>
                </c:pt>
                <c:pt idx="58">
                  <c:v>Nelson City</c:v>
                </c:pt>
                <c:pt idx="59">
                  <c:v>Tasman District</c:v>
                </c:pt>
                <c:pt idx="60">
                  <c:v>Western Bay of Plenty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Marlborough District</c:v>
                </c:pt>
                <c:pt idx="64">
                  <c:v>Waipa District</c:v>
                </c:pt>
                <c:pt idx="65">
                  <c:v>Tauranga City</c:v>
                </c:pt>
                <c:pt idx="66">
                  <c:v>Waimakariri District</c:v>
                </c:pt>
                <c:pt idx="67">
                  <c:v>Kapiti Coast District</c:v>
                </c:pt>
                <c:pt idx="68">
                  <c:v>Bay of Plenty Regional</c:v>
                </c:pt>
                <c:pt idx="69">
                  <c:v>Otago Regional</c:v>
                </c:pt>
                <c:pt idx="70">
                  <c:v>Selwyn District</c:v>
                </c:pt>
                <c:pt idx="71">
                  <c:v>Wellington City</c:v>
                </c:pt>
                <c:pt idx="72">
                  <c:v>Queenstown-Lakes District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Model!$T$3:$T$80</c:f>
              <c:numCache>
                <c:formatCode>0%</c:formatCode>
                <c:ptCount val="78"/>
                <c:pt idx="0">
                  <c:v>0.85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0.71</c:v>
                </c:pt>
                <c:pt idx="5">
                  <c:v>0.72</c:v>
                </c:pt>
                <c:pt idx="6">
                  <c:v>0.67</c:v>
                </c:pt>
                <c:pt idx="7">
                  <c:v>0.65</c:v>
                </c:pt>
                <c:pt idx="8">
                  <c:v>0.66</c:v>
                </c:pt>
                <c:pt idx="9">
                  <c:v>0.63</c:v>
                </c:pt>
                <c:pt idx="10">
                  <c:v>0.64</c:v>
                </c:pt>
                <c:pt idx="11">
                  <c:v>0.63</c:v>
                </c:pt>
                <c:pt idx="12">
                  <c:v>0.62</c:v>
                </c:pt>
                <c:pt idx="13">
                  <c:v>0.6</c:v>
                </c:pt>
                <c:pt idx="14">
                  <c:v>0.61</c:v>
                </c:pt>
                <c:pt idx="15">
                  <c:v>0.6</c:v>
                </c:pt>
                <c:pt idx="16">
                  <c:v>0.57999999999999996</c:v>
                </c:pt>
                <c:pt idx="17">
                  <c:v>0.6</c:v>
                </c:pt>
                <c:pt idx="18">
                  <c:v>0.6</c:v>
                </c:pt>
                <c:pt idx="19">
                  <c:v>0.57999999999999996</c:v>
                </c:pt>
                <c:pt idx="20">
                  <c:v>0.59</c:v>
                </c:pt>
                <c:pt idx="21">
                  <c:v>0.59</c:v>
                </c:pt>
                <c:pt idx="22">
                  <c:v>0.56999999999999995</c:v>
                </c:pt>
                <c:pt idx="23">
                  <c:v>0.57999999999999996</c:v>
                </c:pt>
                <c:pt idx="24">
                  <c:v>0.57999999999999996</c:v>
                </c:pt>
                <c:pt idx="25">
                  <c:v>0.56999999999999995</c:v>
                </c:pt>
                <c:pt idx="26">
                  <c:v>0.56999999999999995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0.55000000000000004</c:v>
                </c:pt>
                <c:pt idx="30">
                  <c:v>0.55000000000000004</c:v>
                </c:pt>
                <c:pt idx="31">
                  <c:v>0.54</c:v>
                </c:pt>
                <c:pt idx="32">
                  <c:v>0.54</c:v>
                </c:pt>
                <c:pt idx="33">
                  <c:v>0.53</c:v>
                </c:pt>
                <c:pt idx="34">
                  <c:v>0.53</c:v>
                </c:pt>
                <c:pt idx="35">
                  <c:v>0.53</c:v>
                </c:pt>
                <c:pt idx="36">
                  <c:v>0.52</c:v>
                </c:pt>
                <c:pt idx="37">
                  <c:v>0.51</c:v>
                </c:pt>
                <c:pt idx="38">
                  <c:v>0.52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0.51</c:v>
                </c:pt>
                <c:pt idx="45">
                  <c:v>0.51</c:v>
                </c:pt>
                <c:pt idx="46">
                  <c:v>0.51</c:v>
                </c:pt>
                <c:pt idx="47">
                  <c:v>0.51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0.51</c:v>
                </c:pt>
                <c:pt idx="52">
                  <c:v>0.51</c:v>
                </c:pt>
                <c:pt idx="53">
                  <c:v>0.51</c:v>
                </c:pt>
                <c:pt idx="54">
                  <c:v>0.51</c:v>
                </c:pt>
                <c:pt idx="55">
                  <c:v>0.51</c:v>
                </c:pt>
                <c:pt idx="56">
                  <c:v>0.51</c:v>
                </c:pt>
                <c:pt idx="57">
                  <c:v>0.51</c:v>
                </c:pt>
                <c:pt idx="58">
                  <c:v>0.51</c:v>
                </c:pt>
                <c:pt idx="59">
                  <c:v>0.51</c:v>
                </c:pt>
                <c:pt idx="60">
                  <c:v>0.51</c:v>
                </c:pt>
                <c:pt idx="61">
                  <c:v>0.51</c:v>
                </c:pt>
                <c:pt idx="62">
                  <c:v>0.51</c:v>
                </c:pt>
                <c:pt idx="63">
                  <c:v>0.51</c:v>
                </c:pt>
                <c:pt idx="64">
                  <c:v>0.51</c:v>
                </c:pt>
                <c:pt idx="65">
                  <c:v>0.51</c:v>
                </c:pt>
                <c:pt idx="66">
                  <c:v>0.51</c:v>
                </c:pt>
                <c:pt idx="67">
                  <c:v>0.51</c:v>
                </c:pt>
                <c:pt idx="68">
                  <c:v>0.51</c:v>
                </c:pt>
                <c:pt idx="69">
                  <c:v>0.51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</c:v>
                </c:pt>
                <c:pt idx="75">
                  <c:v>0.51</c:v>
                </c:pt>
                <c:pt idx="76">
                  <c:v>0.51</c:v>
                </c:pt>
                <c:pt idx="77">
                  <c:v>0.51</c:v>
                </c:pt>
              </c:numCache>
            </c:numRef>
          </c:val>
        </c:ser>
        <c:ser>
          <c:idx val="1"/>
          <c:order val="1"/>
          <c:tx>
            <c:strRef>
              <c:f>Model!$S$2</c:f>
              <c:strCache>
                <c:ptCount val="1"/>
                <c:pt idx="0">
                  <c:v>Future</c:v>
                </c:pt>
              </c:strCache>
            </c:strRef>
          </c:tx>
          <c:spPr>
            <a:solidFill>
              <a:schemeClr val="accent3">
                <a:lumMod val="75000"/>
                <a:alpha val="7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Model!$D$3:$D$80</c:f>
              <c:strCache>
                <c:ptCount val="78"/>
                <c:pt idx="0">
                  <c:v>Chatham Islands Territory</c:v>
                </c:pt>
                <c:pt idx="1">
                  <c:v>Wairoa District</c:v>
                </c:pt>
                <c:pt idx="2">
                  <c:v>Opotiki District</c:v>
                </c:pt>
                <c:pt idx="3">
                  <c:v>Kawerau District</c:v>
                </c:pt>
                <c:pt idx="4">
                  <c:v>Waitomo District</c:v>
                </c:pt>
                <c:pt idx="5">
                  <c:v>Ruapehu District</c:v>
                </c:pt>
                <c:pt idx="6">
                  <c:v>Gisborne District</c:v>
                </c:pt>
                <c:pt idx="7">
                  <c:v>Tararua District</c:v>
                </c:pt>
                <c:pt idx="8">
                  <c:v>Far North District</c:v>
                </c:pt>
                <c:pt idx="9">
                  <c:v>Buller District</c:v>
                </c:pt>
                <c:pt idx="10">
                  <c:v>Whakatane District</c:v>
                </c:pt>
                <c:pt idx="11">
                  <c:v>Rangitikei District</c:v>
                </c:pt>
                <c:pt idx="12">
                  <c:v>South Waikato District</c:v>
                </c:pt>
                <c:pt idx="13">
                  <c:v>Wanganui District</c:v>
                </c:pt>
                <c:pt idx="14">
                  <c:v>Kaipara District</c:v>
                </c:pt>
                <c:pt idx="15">
                  <c:v>Central Hawke's Bay District</c:v>
                </c:pt>
                <c:pt idx="16">
                  <c:v>West Coast Regional</c:v>
                </c:pt>
                <c:pt idx="17">
                  <c:v>Hauraki District</c:v>
                </c:pt>
                <c:pt idx="18">
                  <c:v>Waimate District</c:v>
                </c:pt>
                <c:pt idx="19">
                  <c:v>Westland District</c:v>
                </c:pt>
                <c:pt idx="20">
                  <c:v>Clutha District</c:v>
                </c:pt>
                <c:pt idx="21">
                  <c:v>Horowhenua District</c:v>
                </c:pt>
                <c:pt idx="22">
                  <c:v>Grey District</c:v>
                </c:pt>
                <c:pt idx="23">
                  <c:v>Otorohanga District</c:v>
                </c:pt>
                <c:pt idx="24">
                  <c:v>South Taranaki District</c:v>
                </c:pt>
                <c:pt idx="25">
                  <c:v>Masterton District</c:v>
                </c:pt>
                <c:pt idx="26">
                  <c:v>Stratford District</c:v>
                </c:pt>
                <c:pt idx="27">
                  <c:v>Gore District</c:v>
                </c:pt>
                <c:pt idx="28">
                  <c:v>Porirua City</c:v>
                </c:pt>
                <c:pt idx="29">
                  <c:v>Rotorua District</c:v>
                </c:pt>
                <c:pt idx="30">
                  <c:v>Waitaki District</c:v>
                </c:pt>
                <c:pt idx="31">
                  <c:v>Hastings District</c:v>
                </c:pt>
                <c:pt idx="32">
                  <c:v>Northland Regional</c:v>
                </c:pt>
                <c:pt idx="33">
                  <c:v>Whangarei District</c:v>
                </c:pt>
                <c:pt idx="34">
                  <c:v>Manawatu District</c:v>
                </c:pt>
                <c:pt idx="35">
                  <c:v>Carterton District</c:v>
                </c:pt>
                <c:pt idx="36">
                  <c:v>South Wairarapa District</c:v>
                </c:pt>
                <c:pt idx="37">
                  <c:v>Kaikoura District</c:v>
                </c:pt>
                <c:pt idx="38">
                  <c:v>Waikato District</c:v>
                </c:pt>
                <c:pt idx="39">
                  <c:v>Hawkes Bay Regional</c:v>
                </c:pt>
                <c:pt idx="40">
                  <c:v>Napier City</c:v>
                </c:pt>
                <c:pt idx="41">
                  <c:v>Taupo District</c:v>
                </c:pt>
                <c:pt idx="42">
                  <c:v>Thames-Coromandel District</c:v>
                </c:pt>
                <c:pt idx="43">
                  <c:v>Invercargill City</c:v>
                </c:pt>
                <c:pt idx="44">
                  <c:v>Mackenzie District</c:v>
                </c:pt>
                <c:pt idx="45">
                  <c:v>Southland Regional</c:v>
                </c:pt>
                <c:pt idx="46">
                  <c:v>Hurunui District</c:v>
                </c:pt>
                <c:pt idx="47">
                  <c:v>Matamata-Piako District</c:v>
                </c:pt>
                <c:pt idx="48">
                  <c:v>Timaru District</c:v>
                </c:pt>
                <c:pt idx="49">
                  <c:v>Taranaki Regional</c:v>
                </c:pt>
                <c:pt idx="50">
                  <c:v>Manawatu-Wanganui Regional</c:v>
                </c:pt>
                <c:pt idx="51">
                  <c:v>Southland District</c:v>
                </c:pt>
                <c:pt idx="52">
                  <c:v>Central Otago District</c:v>
                </c:pt>
                <c:pt idx="53">
                  <c:v>New Plymouth District</c:v>
                </c:pt>
                <c:pt idx="54">
                  <c:v>Lower Hutt City</c:v>
                </c:pt>
                <c:pt idx="55">
                  <c:v>Palmerston North City</c:v>
                </c:pt>
                <c:pt idx="56">
                  <c:v>Ashburton District</c:v>
                </c:pt>
                <c:pt idx="57">
                  <c:v>Hamilton City</c:v>
                </c:pt>
                <c:pt idx="58">
                  <c:v>Nelson City</c:v>
                </c:pt>
                <c:pt idx="59">
                  <c:v>Tasman District</c:v>
                </c:pt>
                <c:pt idx="60">
                  <c:v>Western Bay of Plenty District</c:v>
                </c:pt>
                <c:pt idx="61">
                  <c:v>Dunedin City</c:v>
                </c:pt>
                <c:pt idx="62">
                  <c:v>Upper Hutt City</c:v>
                </c:pt>
                <c:pt idx="63">
                  <c:v>Marlborough District</c:v>
                </c:pt>
                <c:pt idx="64">
                  <c:v>Waipa District</c:v>
                </c:pt>
                <c:pt idx="65">
                  <c:v>Tauranga City</c:v>
                </c:pt>
                <c:pt idx="66">
                  <c:v>Waimakariri District</c:v>
                </c:pt>
                <c:pt idx="67">
                  <c:v>Kapiti Coast District</c:v>
                </c:pt>
                <c:pt idx="68">
                  <c:v>Bay of Plenty Regional</c:v>
                </c:pt>
                <c:pt idx="69">
                  <c:v>Otago Regional</c:v>
                </c:pt>
                <c:pt idx="70">
                  <c:v>Selwyn District</c:v>
                </c:pt>
                <c:pt idx="71">
                  <c:v>Wellington City</c:v>
                </c:pt>
                <c:pt idx="72">
                  <c:v>Queenstown-Lakes District</c:v>
                </c:pt>
                <c:pt idx="73">
                  <c:v>Waikato Regional</c:v>
                </c:pt>
                <c:pt idx="74">
                  <c:v>Christchurch City</c:v>
                </c:pt>
                <c:pt idx="75">
                  <c:v>Wellington Regional</c:v>
                </c:pt>
                <c:pt idx="76">
                  <c:v>Canterbury Regional</c:v>
                </c:pt>
                <c:pt idx="77">
                  <c:v>Auckland</c:v>
                </c:pt>
              </c:strCache>
            </c:strRef>
          </c:cat>
          <c:val>
            <c:numRef>
              <c:f>Model!$S$3:$S$80</c:f>
              <c:numCache>
                <c:formatCode>0%</c:formatCode>
                <c:ptCount val="78"/>
                <c:pt idx="0">
                  <c:v>0.85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0.72699277628904646</c:v>
                </c:pt>
                <c:pt idx="5">
                  <c:v>0.72418805723412893</c:v>
                </c:pt>
                <c:pt idx="6">
                  <c:v>0.6771986089059564</c:v>
                </c:pt>
                <c:pt idx="7">
                  <c:v>0.66040033597097914</c:v>
                </c:pt>
                <c:pt idx="8">
                  <c:v>0.66001696515700514</c:v>
                </c:pt>
                <c:pt idx="9">
                  <c:v>0.65603719073816968</c:v>
                </c:pt>
                <c:pt idx="10">
                  <c:v>0.63592953112251216</c:v>
                </c:pt>
                <c:pt idx="11">
                  <c:v>0.62980254766899424</c:v>
                </c:pt>
                <c:pt idx="12">
                  <c:v>0.61599155935377259</c:v>
                </c:pt>
                <c:pt idx="13">
                  <c:v>0.60631449549752658</c:v>
                </c:pt>
                <c:pt idx="14">
                  <c:v>0.60213516294863034</c:v>
                </c:pt>
                <c:pt idx="15">
                  <c:v>0.5990339774916299</c:v>
                </c:pt>
                <c:pt idx="16">
                  <c:v>0.59580412130885263</c:v>
                </c:pt>
                <c:pt idx="17">
                  <c:v>0.59269103650544674</c:v>
                </c:pt>
                <c:pt idx="18">
                  <c:v>0.59157073216822775</c:v>
                </c:pt>
                <c:pt idx="19">
                  <c:v>0.59144176219197264</c:v>
                </c:pt>
                <c:pt idx="20">
                  <c:v>0.59066232634518512</c:v>
                </c:pt>
                <c:pt idx="21">
                  <c:v>0.58904944730972419</c:v>
                </c:pt>
                <c:pt idx="22">
                  <c:v>0.58346465805046288</c:v>
                </c:pt>
                <c:pt idx="23">
                  <c:v>0.5789876814913435</c:v>
                </c:pt>
                <c:pt idx="24">
                  <c:v>0.57299220627443248</c:v>
                </c:pt>
                <c:pt idx="25">
                  <c:v>0.57188858548640353</c:v>
                </c:pt>
                <c:pt idx="26">
                  <c:v>0.56981053718404306</c:v>
                </c:pt>
                <c:pt idx="27">
                  <c:v>0.55379331237956397</c:v>
                </c:pt>
                <c:pt idx="28">
                  <c:v>0.55321994010333675</c:v>
                </c:pt>
                <c:pt idx="29">
                  <c:v>0.55047371499629527</c:v>
                </c:pt>
                <c:pt idx="30">
                  <c:v>0.54991707715494342</c:v>
                </c:pt>
                <c:pt idx="31">
                  <c:v>0.53657846363153094</c:v>
                </c:pt>
                <c:pt idx="32">
                  <c:v>0.53430632928599497</c:v>
                </c:pt>
                <c:pt idx="33">
                  <c:v>0.52538176855522301</c:v>
                </c:pt>
                <c:pt idx="34">
                  <c:v>0.52524551705476541</c:v>
                </c:pt>
                <c:pt idx="35">
                  <c:v>0.52314009104582582</c:v>
                </c:pt>
                <c:pt idx="36">
                  <c:v>0.52099928653263849</c:v>
                </c:pt>
                <c:pt idx="37">
                  <c:v>0.51285036110741788</c:v>
                </c:pt>
                <c:pt idx="38">
                  <c:v>0.51242232227431128</c:v>
                </c:pt>
                <c:pt idx="39">
                  <c:v>0.51</c:v>
                </c:pt>
                <c:pt idx="40">
                  <c:v>0.51</c:v>
                </c:pt>
                <c:pt idx="41">
                  <c:v>0.51</c:v>
                </c:pt>
                <c:pt idx="42">
                  <c:v>0.51</c:v>
                </c:pt>
                <c:pt idx="43">
                  <c:v>0.51</c:v>
                </c:pt>
                <c:pt idx="44">
                  <c:v>0.51</c:v>
                </c:pt>
                <c:pt idx="45">
                  <c:v>0.51</c:v>
                </c:pt>
                <c:pt idx="46">
                  <c:v>0.51</c:v>
                </c:pt>
                <c:pt idx="47">
                  <c:v>0.51</c:v>
                </c:pt>
                <c:pt idx="48">
                  <c:v>0.51</c:v>
                </c:pt>
                <c:pt idx="49">
                  <c:v>0.51</c:v>
                </c:pt>
                <c:pt idx="50">
                  <c:v>0.51</c:v>
                </c:pt>
                <c:pt idx="51">
                  <c:v>0.51</c:v>
                </c:pt>
                <c:pt idx="52">
                  <c:v>0.51</c:v>
                </c:pt>
                <c:pt idx="53">
                  <c:v>0.51</c:v>
                </c:pt>
                <c:pt idx="54">
                  <c:v>0.51</c:v>
                </c:pt>
                <c:pt idx="55">
                  <c:v>0.51</c:v>
                </c:pt>
                <c:pt idx="56">
                  <c:v>0.51</c:v>
                </c:pt>
                <c:pt idx="57">
                  <c:v>0.51</c:v>
                </c:pt>
                <c:pt idx="58">
                  <c:v>0.51</c:v>
                </c:pt>
                <c:pt idx="59">
                  <c:v>0.51</c:v>
                </c:pt>
                <c:pt idx="60">
                  <c:v>0.51</c:v>
                </c:pt>
                <c:pt idx="61">
                  <c:v>0.51</c:v>
                </c:pt>
                <c:pt idx="62">
                  <c:v>0.51</c:v>
                </c:pt>
                <c:pt idx="63">
                  <c:v>0.51</c:v>
                </c:pt>
                <c:pt idx="64">
                  <c:v>0.51</c:v>
                </c:pt>
                <c:pt idx="65">
                  <c:v>0.51</c:v>
                </c:pt>
                <c:pt idx="66">
                  <c:v>0.51</c:v>
                </c:pt>
                <c:pt idx="67">
                  <c:v>0.51</c:v>
                </c:pt>
                <c:pt idx="68">
                  <c:v>0.51</c:v>
                </c:pt>
                <c:pt idx="69">
                  <c:v>0.51</c:v>
                </c:pt>
                <c:pt idx="70">
                  <c:v>0.51</c:v>
                </c:pt>
                <c:pt idx="71">
                  <c:v>0.51</c:v>
                </c:pt>
                <c:pt idx="72">
                  <c:v>0.51</c:v>
                </c:pt>
                <c:pt idx="73">
                  <c:v>0.51</c:v>
                </c:pt>
                <c:pt idx="74">
                  <c:v>0.51</c:v>
                </c:pt>
                <c:pt idx="75">
                  <c:v>0.51</c:v>
                </c:pt>
                <c:pt idx="76">
                  <c:v>0.51</c:v>
                </c:pt>
                <c:pt idx="77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6103680"/>
        <c:axId val="76105216"/>
      </c:barChart>
      <c:catAx>
        <c:axId val="76103680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76105216"/>
        <c:crosses val="autoZero"/>
        <c:auto val="1"/>
        <c:lblAlgn val="ctr"/>
        <c:lblOffset val="100"/>
        <c:tickLblSkip val="1"/>
        <c:noMultiLvlLbl val="0"/>
      </c:catAx>
      <c:valAx>
        <c:axId val="76105216"/>
        <c:scaling>
          <c:orientation val="minMax"/>
          <c:max val="0.9"/>
          <c:min val="0.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FAR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76103680"/>
        <c:crosses val="max"/>
        <c:crossBetween val="between"/>
        <c:majorUnit val="0.2"/>
      </c:valAx>
    </c:plotArea>
    <c:legend>
      <c:legendPos val="t"/>
      <c:layout>
        <c:manualLayout>
          <c:xMode val="edge"/>
          <c:yMode val="edge"/>
          <c:x val="0.24907543078854275"/>
          <c:y val="0"/>
          <c:w val="0.49025493552436378"/>
          <c:h val="2.4180419264988033E-2"/>
        </c:manualLayout>
      </c:layout>
      <c:overlay val="1"/>
      <c:spPr>
        <a:noFill/>
      </c:spPr>
    </c:legend>
    <c:plotVisOnly val="1"/>
    <c:dispBlanksAs val="gap"/>
    <c:showDLblsOverMax val="0"/>
  </c:chart>
  <c:spPr>
    <a:noFill/>
    <a:ln>
      <a:noFill/>
    </a:ln>
  </c:spPr>
  <c:printSettings>
    <c:headerFooter alignWithMargins="0"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89832249229716E-2"/>
          <c:y val="5.6614037811439442E-2"/>
          <c:w val="0.81550747460915207"/>
          <c:h val="0.866997497933945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Model!$AJ$2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Model!$AJ$3:$AJ$158</c:f>
              <c:numCache>
                <c:formatCode>General</c:formatCode>
                <c:ptCount val="156"/>
                <c:pt idx="0">
                  <c:v>13641438.35</c:v>
                </c:pt>
                <c:pt idx="2">
                  <c:v>20641396</c:v>
                </c:pt>
                <c:pt idx="4">
                  <c:v>4477618</c:v>
                </c:pt>
                <c:pt idx="6">
                  <c:v>1298926</c:v>
                </c:pt>
                <c:pt idx="8">
                  <c:v>17892241</c:v>
                </c:pt>
                <c:pt idx="10">
                  <c:v>28714642</c:v>
                </c:pt>
                <c:pt idx="12">
                  <c:v>48898923</c:v>
                </c:pt>
                <c:pt idx="14">
                  <c:v>26544282</c:v>
                </c:pt>
                <c:pt idx="16">
                  <c:v>59309994</c:v>
                </c:pt>
                <c:pt idx="18">
                  <c:v>10332117.343571985</c:v>
                </c:pt>
                <c:pt idx="20">
                  <c:v>21114629</c:v>
                </c:pt>
                <c:pt idx="22">
                  <c:v>31390599</c:v>
                </c:pt>
                <c:pt idx="24">
                  <c:v>10192883</c:v>
                </c:pt>
                <c:pt idx="26">
                  <c:v>27455774.465855233</c:v>
                </c:pt>
                <c:pt idx="28">
                  <c:v>34493987.200894795</c:v>
                </c:pt>
                <c:pt idx="30">
                  <c:v>22640229</c:v>
                </c:pt>
                <c:pt idx="32">
                  <c:v>388793.76677245571</c:v>
                </c:pt>
                <c:pt idx="34">
                  <c:v>11332393.17</c:v>
                </c:pt>
                <c:pt idx="36">
                  <c:v>6508587</c:v>
                </c:pt>
                <c:pt idx="38">
                  <c:v>8505445.9117701501</c:v>
                </c:pt>
                <c:pt idx="40">
                  <c:v>32224498.740367409</c:v>
                </c:pt>
                <c:pt idx="42">
                  <c:v>7924599</c:v>
                </c:pt>
                <c:pt idx="44">
                  <c:v>11962446.226476843</c:v>
                </c:pt>
                <c:pt idx="46">
                  <c:v>10828796</c:v>
                </c:pt>
                <c:pt idx="48">
                  <c:v>25010931</c:v>
                </c:pt>
                <c:pt idx="50">
                  <c:v>14799705</c:v>
                </c:pt>
                <c:pt idx="52">
                  <c:v>9238751</c:v>
                </c:pt>
                <c:pt idx="54">
                  <c:v>7641843.2051304048</c:v>
                </c:pt>
                <c:pt idx="56">
                  <c:v>7418641</c:v>
                </c:pt>
                <c:pt idx="58">
                  <c:v>26021940</c:v>
                </c:pt>
                <c:pt idx="60">
                  <c:v>17779521.348526847</c:v>
                </c:pt>
                <c:pt idx="62">
                  <c:v>40519442</c:v>
                </c:pt>
                <c:pt idx="64">
                  <c:v>2782756.5920784525</c:v>
                </c:pt>
                <c:pt idx="66">
                  <c:v>61412824.816657566</c:v>
                </c:pt>
                <c:pt idx="68">
                  <c:v>21681364.934092715</c:v>
                </c:pt>
                <c:pt idx="70">
                  <c:v>5734495.3194953902</c:v>
                </c:pt>
                <c:pt idx="72">
                  <c:v>7678001.3925836915</c:v>
                </c:pt>
                <c:pt idx="74">
                  <c:v>1475636</c:v>
                </c:pt>
                <c:pt idx="76">
                  <c:v>58044752.041794322</c:v>
                </c:pt>
                <c:pt idx="78">
                  <c:v>7786882.4699999997</c:v>
                </c:pt>
                <c:pt idx="80">
                  <c:v>12829703</c:v>
                </c:pt>
                <c:pt idx="82">
                  <c:v>52033358.43</c:v>
                </c:pt>
                <c:pt idx="84">
                  <c:v>19004903</c:v>
                </c:pt>
                <c:pt idx="86">
                  <c:v>25505298.390000001</c:v>
                </c:pt>
                <c:pt idx="88">
                  <c:v>5160717.03</c:v>
                </c:pt>
                <c:pt idx="90">
                  <c:v>312048.59999999998</c:v>
                </c:pt>
                <c:pt idx="92">
                  <c:v>12942208.800000001</c:v>
                </c:pt>
                <c:pt idx="94">
                  <c:v>20685033</c:v>
                </c:pt>
                <c:pt idx="96">
                  <c:v>23272189.440000001</c:v>
                </c:pt>
                <c:pt idx="98">
                  <c:v>4325729.7300000004</c:v>
                </c:pt>
                <c:pt idx="100">
                  <c:v>10639265.550000001</c:v>
                </c:pt>
                <c:pt idx="102">
                  <c:v>46693134.149999999</c:v>
                </c:pt>
                <c:pt idx="104">
                  <c:v>12734191.02</c:v>
                </c:pt>
                <c:pt idx="106">
                  <c:v>30376651.620000001</c:v>
                </c:pt>
                <c:pt idx="108">
                  <c:v>27615568</c:v>
                </c:pt>
                <c:pt idx="110">
                  <c:v>16684384</c:v>
                </c:pt>
                <c:pt idx="112">
                  <c:v>18760769</c:v>
                </c:pt>
                <c:pt idx="114">
                  <c:v>76637092.079999998</c:v>
                </c:pt>
                <c:pt idx="116">
                  <c:v>11677930</c:v>
                </c:pt>
                <c:pt idx="118">
                  <c:v>25969673</c:v>
                </c:pt>
                <c:pt idx="120">
                  <c:v>25614860</c:v>
                </c:pt>
                <c:pt idx="122">
                  <c:v>63135869.730000004</c:v>
                </c:pt>
                <c:pt idx="124">
                  <c:v>10236002</c:v>
                </c:pt>
                <c:pt idx="126">
                  <c:v>20784308</c:v>
                </c:pt>
                <c:pt idx="128">
                  <c:v>25837287</c:v>
                </c:pt>
                <c:pt idx="130">
                  <c:v>28532193</c:v>
                </c:pt>
                <c:pt idx="132">
                  <c:v>17541998</c:v>
                </c:pt>
                <c:pt idx="134">
                  <c:v>10683142.59</c:v>
                </c:pt>
                <c:pt idx="136">
                  <c:v>20347696.440000001</c:v>
                </c:pt>
                <c:pt idx="138">
                  <c:v>15496727.4</c:v>
                </c:pt>
                <c:pt idx="140">
                  <c:v>19280160</c:v>
                </c:pt>
                <c:pt idx="142">
                  <c:v>61752690</c:v>
                </c:pt>
                <c:pt idx="144">
                  <c:v>39157028.880000003</c:v>
                </c:pt>
                <c:pt idx="146">
                  <c:v>35712314.969999999</c:v>
                </c:pt>
                <c:pt idx="148">
                  <c:v>85849130</c:v>
                </c:pt>
                <c:pt idx="150">
                  <c:v>186208810.14000002</c:v>
                </c:pt>
                <c:pt idx="152">
                  <c:v>85114294.739999995</c:v>
                </c:pt>
                <c:pt idx="154">
                  <c:v>1191514445.901</c:v>
                </c:pt>
              </c:numCache>
            </c:numRef>
          </c:val>
        </c:ser>
        <c:ser>
          <c:idx val="1"/>
          <c:order val="1"/>
          <c:tx>
            <c:strRef>
              <c:f>Model!$AK$2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val>
            <c:numRef>
              <c:f>Model!$AK$3:$AK$158</c:f>
              <c:numCache>
                <c:formatCode>General</c:formatCode>
                <c:ptCount val="156"/>
                <c:pt idx="0">
                  <c:v>0</c:v>
                </c:pt>
                <c:pt idx="2">
                  <c:v>1996933.25</c:v>
                </c:pt>
                <c:pt idx="4">
                  <c:v>2080509.5</c:v>
                </c:pt>
                <c:pt idx="6">
                  <c:v>145092.5</c:v>
                </c:pt>
                <c:pt idx="8">
                  <c:v>4260108.5547865555</c:v>
                </c:pt>
                <c:pt idx="10">
                  <c:v>2604308.0483835153</c:v>
                </c:pt>
                <c:pt idx="12">
                  <c:v>6644256.7918019965</c:v>
                </c:pt>
                <c:pt idx="14">
                  <c:v>2399895.1566130109</c:v>
                </c:pt>
                <c:pt idx="16">
                  <c:v>6781223.2567526177</c:v>
                </c:pt>
                <c:pt idx="18">
                  <c:v>0</c:v>
                </c:pt>
                <c:pt idx="20">
                  <c:v>3487409.5210699439</c:v>
                </c:pt>
                <c:pt idx="22">
                  <c:v>176159.60843733698</c:v>
                </c:pt>
                <c:pt idx="24">
                  <c:v>2241448.6981281303</c:v>
                </c:pt>
                <c:pt idx="26">
                  <c:v>0</c:v>
                </c:pt>
                <c:pt idx="28">
                  <c:v>0</c:v>
                </c:pt>
                <c:pt idx="30">
                  <c:v>700525.50767806917</c:v>
                </c:pt>
                <c:pt idx="32">
                  <c:v>0</c:v>
                </c:pt>
                <c:pt idx="34">
                  <c:v>1022533.6128163226</c:v>
                </c:pt>
                <c:pt idx="36">
                  <c:v>829945.54171767272</c:v>
                </c:pt>
                <c:pt idx="38">
                  <c:v>0</c:v>
                </c:pt>
                <c:pt idx="40">
                  <c:v>0</c:v>
                </c:pt>
                <c:pt idx="42">
                  <c:v>1869230.457596235</c:v>
                </c:pt>
                <c:pt idx="44">
                  <c:v>0</c:v>
                </c:pt>
                <c:pt idx="46">
                  <c:v>891875.12567432225</c:v>
                </c:pt>
                <c:pt idx="48">
                  <c:v>2840313.2289376818</c:v>
                </c:pt>
                <c:pt idx="50">
                  <c:v>288370.35880913772</c:v>
                </c:pt>
                <c:pt idx="52">
                  <c:v>493472.80171130784</c:v>
                </c:pt>
                <c:pt idx="54">
                  <c:v>0</c:v>
                </c:pt>
                <c:pt idx="56">
                  <c:v>1359032.0311686341</c:v>
                </c:pt>
                <c:pt idx="58">
                  <c:v>2981780.2064818442</c:v>
                </c:pt>
                <c:pt idx="60">
                  <c:v>0</c:v>
                </c:pt>
                <c:pt idx="62">
                  <c:v>126777.98077926785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93868.166866891785</c:v>
                </c:pt>
                <c:pt idx="76">
                  <c:v>0</c:v>
                </c:pt>
                <c:pt idx="78">
                  <c:v>0</c:v>
                </c:pt>
                <c:pt idx="80">
                  <c:v>518075.65000000037</c:v>
                </c:pt>
                <c:pt idx="82">
                  <c:v>0</c:v>
                </c:pt>
                <c:pt idx="84">
                  <c:v>2842571.8599999994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926656.62000000104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6">
                  <c:v>0</c:v>
                </c:pt>
                <c:pt idx="108">
                  <c:v>1317300.1400000006</c:v>
                </c:pt>
                <c:pt idx="110">
                  <c:v>781517.14999999851</c:v>
                </c:pt>
                <c:pt idx="112">
                  <c:v>1116920.1099999994</c:v>
                </c:pt>
                <c:pt idx="114">
                  <c:v>0</c:v>
                </c:pt>
                <c:pt idx="116">
                  <c:v>837663.80000000075</c:v>
                </c:pt>
                <c:pt idx="118">
                  <c:v>97335.309999998659</c:v>
                </c:pt>
                <c:pt idx="120">
                  <c:v>2498584.5100000016</c:v>
                </c:pt>
                <c:pt idx="122">
                  <c:v>0</c:v>
                </c:pt>
                <c:pt idx="124">
                  <c:v>405750.8200000003</c:v>
                </c:pt>
                <c:pt idx="126">
                  <c:v>1064362.3000000007</c:v>
                </c:pt>
                <c:pt idx="128">
                  <c:v>789541.6799999997</c:v>
                </c:pt>
                <c:pt idx="130">
                  <c:v>2657877.5100000016</c:v>
                </c:pt>
                <c:pt idx="132">
                  <c:v>178737.39999999851</c:v>
                </c:pt>
                <c:pt idx="134">
                  <c:v>1200768.2699999996</c:v>
                </c:pt>
                <c:pt idx="136">
                  <c:v>0</c:v>
                </c:pt>
                <c:pt idx="138">
                  <c:v>0</c:v>
                </c:pt>
                <c:pt idx="140">
                  <c:v>378507.05999999866</c:v>
                </c:pt>
                <c:pt idx="142">
                  <c:v>6598127.6099999994</c:v>
                </c:pt>
                <c:pt idx="144">
                  <c:v>0</c:v>
                </c:pt>
                <c:pt idx="146">
                  <c:v>0</c:v>
                </c:pt>
                <c:pt idx="148">
                  <c:v>7243816.3900000006</c:v>
                </c:pt>
                <c:pt idx="150">
                  <c:v>0</c:v>
                </c:pt>
                <c:pt idx="152">
                  <c:v>0</c:v>
                </c:pt>
                <c:pt idx="15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Model!$AL$2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Model!$AL$3:$AL$158</c:f>
              <c:numCache>
                <c:formatCode>General</c:formatCode>
                <c:ptCount val="156"/>
                <c:pt idx="0">
                  <c:v>661265.65000000037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140162.65642801486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1547067.5341447666</c:v>
                </c:pt>
                <c:pt idx="28">
                  <c:v>529727.79910520464</c:v>
                </c:pt>
                <c:pt idx="30">
                  <c:v>0</c:v>
                </c:pt>
                <c:pt idx="32">
                  <c:v>45721.23322754429</c:v>
                </c:pt>
                <c:pt idx="34">
                  <c:v>0</c:v>
                </c:pt>
                <c:pt idx="36">
                  <c:v>0</c:v>
                </c:pt>
                <c:pt idx="38">
                  <c:v>917015.08822984993</c:v>
                </c:pt>
                <c:pt idx="40">
                  <c:v>1270847.2596325912</c:v>
                </c:pt>
                <c:pt idx="42">
                  <c:v>0</c:v>
                </c:pt>
                <c:pt idx="44">
                  <c:v>1059283.7735231575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177059.79486959521</c:v>
                </c:pt>
                <c:pt idx="56">
                  <c:v>0</c:v>
                </c:pt>
                <c:pt idx="58">
                  <c:v>0</c:v>
                </c:pt>
                <c:pt idx="60">
                  <c:v>1037512.6514731534</c:v>
                </c:pt>
                <c:pt idx="62">
                  <c:v>0</c:v>
                </c:pt>
                <c:pt idx="64">
                  <c:v>150210.40792154754</c:v>
                </c:pt>
                <c:pt idx="66">
                  <c:v>1057145.1833424345</c:v>
                </c:pt>
                <c:pt idx="68">
                  <c:v>204583.06590728462</c:v>
                </c:pt>
                <c:pt idx="70">
                  <c:v>106286.68050460983</c:v>
                </c:pt>
                <c:pt idx="72">
                  <c:v>1183847.6074163085</c:v>
                </c:pt>
                <c:pt idx="74">
                  <c:v>0</c:v>
                </c:pt>
                <c:pt idx="76">
                  <c:v>2263938.818205677</c:v>
                </c:pt>
                <c:pt idx="78">
                  <c:v>1005165.5300000003</c:v>
                </c:pt>
                <c:pt idx="80">
                  <c:v>0</c:v>
                </c:pt>
                <c:pt idx="82">
                  <c:v>499573.26000000536</c:v>
                </c:pt>
                <c:pt idx="84">
                  <c:v>0</c:v>
                </c:pt>
                <c:pt idx="86">
                  <c:v>6282203.6099999994</c:v>
                </c:pt>
                <c:pt idx="88">
                  <c:v>359417.96999999974</c:v>
                </c:pt>
                <c:pt idx="90">
                  <c:v>190676.40000000002</c:v>
                </c:pt>
                <c:pt idx="92">
                  <c:v>378291.19999999925</c:v>
                </c:pt>
                <c:pt idx="94">
                  <c:v>0</c:v>
                </c:pt>
                <c:pt idx="96">
                  <c:v>1248798.5599999987</c:v>
                </c:pt>
                <c:pt idx="98">
                  <c:v>154947.26999999955</c:v>
                </c:pt>
                <c:pt idx="100">
                  <c:v>1429559.4499999993</c:v>
                </c:pt>
                <c:pt idx="102">
                  <c:v>3838618.8500000015</c:v>
                </c:pt>
                <c:pt idx="104">
                  <c:v>243877.98000000045</c:v>
                </c:pt>
                <c:pt idx="106">
                  <c:v>1303365.379999999</c:v>
                </c:pt>
                <c:pt idx="108">
                  <c:v>0</c:v>
                </c:pt>
                <c:pt idx="110">
                  <c:v>0</c:v>
                </c:pt>
                <c:pt idx="112">
                  <c:v>0</c:v>
                </c:pt>
                <c:pt idx="114">
                  <c:v>1914551.3700000048</c:v>
                </c:pt>
                <c:pt idx="116">
                  <c:v>0</c:v>
                </c:pt>
                <c:pt idx="118">
                  <c:v>0</c:v>
                </c:pt>
                <c:pt idx="120">
                  <c:v>0</c:v>
                </c:pt>
                <c:pt idx="122">
                  <c:v>9636489.2699999958</c:v>
                </c:pt>
                <c:pt idx="124">
                  <c:v>0</c:v>
                </c:pt>
                <c:pt idx="126">
                  <c:v>0</c:v>
                </c:pt>
                <c:pt idx="128">
                  <c:v>0</c:v>
                </c:pt>
                <c:pt idx="130">
                  <c:v>0</c:v>
                </c:pt>
                <c:pt idx="132">
                  <c:v>0</c:v>
                </c:pt>
                <c:pt idx="134">
                  <c:v>0</c:v>
                </c:pt>
                <c:pt idx="136">
                  <c:v>706679.55999999866</c:v>
                </c:pt>
                <c:pt idx="138">
                  <c:v>1000554.5999999996</c:v>
                </c:pt>
                <c:pt idx="140">
                  <c:v>0</c:v>
                </c:pt>
                <c:pt idx="142">
                  <c:v>0</c:v>
                </c:pt>
                <c:pt idx="144">
                  <c:v>3926835.1199999973</c:v>
                </c:pt>
                <c:pt idx="146">
                  <c:v>1441697.0300000012</c:v>
                </c:pt>
                <c:pt idx="148">
                  <c:v>0</c:v>
                </c:pt>
                <c:pt idx="150">
                  <c:v>16759282.859999985</c:v>
                </c:pt>
                <c:pt idx="152">
                  <c:v>3663759.2600000054</c:v>
                </c:pt>
                <c:pt idx="154">
                  <c:v>18480055.763499975</c:v>
                </c:pt>
              </c:numCache>
            </c:numRef>
          </c:val>
        </c:ser>
        <c:ser>
          <c:idx val="3"/>
          <c:order val="3"/>
          <c:tx>
            <c:strRef>
              <c:f>Model!$AM$2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val>
            <c:numRef>
              <c:f>Model!$AM$3:$AM$158</c:f>
              <c:numCache>
                <c:formatCode>General</c:formatCode>
                <c:ptCount val="156"/>
                <c:pt idx="1">
                  <c:v>1746047</c:v>
                </c:pt>
                <c:pt idx="3">
                  <c:v>7546109.75</c:v>
                </c:pt>
                <c:pt idx="5">
                  <c:v>2186042.5</c:v>
                </c:pt>
                <c:pt idx="7">
                  <c:v>481339.5</c:v>
                </c:pt>
                <c:pt idx="9">
                  <c:v>8318860.4452134445</c:v>
                </c:pt>
                <c:pt idx="11">
                  <c:v>11928034.951616485</c:v>
                </c:pt>
                <c:pt idx="13">
                  <c:v>26475860.208198003</c:v>
                </c:pt>
                <c:pt idx="15">
                  <c:v>14884051.843386989</c:v>
                </c:pt>
                <c:pt idx="17">
                  <c:v>34044416.743247382</c:v>
                </c:pt>
                <c:pt idx="19">
                  <c:v>5277006</c:v>
                </c:pt>
                <c:pt idx="21">
                  <c:v>14084698.478930056</c:v>
                </c:pt>
                <c:pt idx="23">
                  <c:v>18554916.391562663</c:v>
                </c:pt>
                <c:pt idx="25">
                  <c:v>7751548.3018718697</c:v>
                </c:pt>
                <c:pt idx="27">
                  <c:v>16280216</c:v>
                </c:pt>
                <c:pt idx="29">
                  <c:v>22262405</c:v>
                </c:pt>
                <c:pt idx="31">
                  <c:v>15623236.492321931</c:v>
                </c:pt>
                <c:pt idx="33">
                  <c:v>218038</c:v>
                </c:pt>
                <c:pt idx="35">
                  <c:v>8490549.2271836754</c:v>
                </c:pt>
                <c:pt idx="37">
                  <c:v>5066632.4582823273</c:v>
                </c:pt>
                <c:pt idx="39">
                  <c:v>4958407</c:v>
                </c:pt>
                <c:pt idx="41">
                  <c:v>21061204</c:v>
                </c:pt>
                <c:pt idx="43">
                  <c:v>6832668.542403765</c:v>
                </c:pt>
                <c:pt idx="45">
                  <c:v>7480705</c:v>
                </c:pt>
                <c:pt idx="47">
                  <c:v>8522714.8743256778</c:v>
                </c:pt>
                <c:pt idx="49">
                  <c:v>20755427.771062318</c:v>
                </c:pt>
                <c:pt idx="51">
                  <c:v>11294817.641190862</c:v>
                </c:pt>
                <c:pt idx="53">
                  <c:v>7347530.1982886922</c:v>
                </c:pt>
                <c:pt idx="55">
                  <c:v>5980186</c:v>
                </c:pt>
                <c:pt idx="57">
                  <c:v>7088842.9688313659</c:v>
                </c:pt>
                <c:pt idx="59">
                  <c:v>23684935.793518156</c:v>
                </c:pt>
                <c:pt idx="61">
                  <c:v>13514243</c:v>
                </c:pt>
                <c:pt idx="63">
                  <c:v>35104528.019220732</c:v>
                </c:pt>
                <c:pt idx="65">
                  <c:v>2275200</c:v>
                </c:pt>
                <c:pt idx="67">
                  <c:v>54421838</c:v>
                </c:pt>
                <c:pt idx="69">
                  <c:v>19392586</c:v>
                </c:pt>
                <c:pt idx="71">
                  <c:v>5120900</c:v>
                </c:pt>
                <c:pt idx="73">
                  <c:v>5875218</c:v>
                </c:pt>
                <c:pt idx="75">
                  <c:v>1490850.8331331082</c:v>
                </c:pt>
                <c:pt idx="77">
                  <c:v>52966530.609999999</c:v>
                </c:pt>
                <c:pt idx="79">
                  <c:v>6476349</c:v>
                </c:pt>
                <c:pt idx="81">
                  <c:v>12824336.35</c:v>
                </c:pt>
                <c:pt idx="83">
                  <c:v>49493261.309999995</c:v>
                </c:pt>
                <c:pt idx="85">
                  <c:v>20990711.140000001</c:v>
                </c:pt>
                <c:pt idx="87">
                  <c:v>18222887</c:v>
                </c:pt>
                <c:pt idx="89">
                  <c:v>4598918</c:v>
                </c:pt>
                <c:pt idx="91">
                  <c:v>109135</c:v>
                </c:pt>
                <c:pt idx="93">
                  <c:v>12056380</c:v>
                </c:pt>
                <c:pt idx="95">
                  <c:v>20764172.379999999</c:v>
                </c:pt>
                <c:pt idx="97">
                  <c:v>21110756</c:v>
                </c:pt>
                <c:pt idx="99">
                  <c:v>4001146</c:v>
                </c:pt>
                <c:pt idx="101">
                  <c:v>8792480</c:v>
                </c:pt>
                <c:pt idx="103">
                  <c:v>41023412</c:v>
                </c:pt>
                <c:pt idx="105">
                  <c:v>11990933</c:v>
                </c:pt>
                <c:pt idx="107">
                  <c:v>27882045</c:v>
                </c:pt>
                <c:pt idx="109">
                  <c:v>27798245.859999999</c:v>
                </c:pt>
                <c:pt idx="111">
                  <c:v>16780963.850000001</c:v>
                </c:pt>
                <c:pt idx="113">
                  <c:v>19098171.890000001</c:v>
                </c:pt>
                <c:pt idx="115">
                  <c:v>71717164.549999997</c:v>
                </c:pt>
                <c:pt idx="117">
                  <c:v>12024786.199999999</c:v>
                </c:pt>
                <c:pt idx="119">
                  <c:v>25044772.690000001</c:v>
                </c:pt>
                <c:pt idx="121">
                  <c:v>27010956.489999998</c:v>
                </c:pt>
                <c:pt idx="123">
                  <c:v>51023464</c:v>
                </c:pt>
                <c:pt idx="125">
                  <c:v>10224429.18</c:v>
                </c:pt>
                <c:pt idx="127">
                  <c:v>20991859.699999999</c:v>
                </c:pt>
                <c:pt idx="129">
                  <c:v>25582639.32</c:v>
                </c:pt>
                <c:pt idx="131">
                  <c:v>29966930.489999998</c:v>
                </c:pt>
                <c:pt idx="133">
                  <c:v>17025804.600000001</c:v>
                </c:pt>
                <c:pt idx="135">
                  <c:v>11417875.140000001</c:v>
                </c:pt>
                <c:pt idx="137">
                  <c:v>18843068</c:v>
                </c:pt>
                <c:pt idx="139">
                  <c:v>13888458</c:v>
                </c:pt>
                <c:pt idx="141">
                  <c:v>18887738.940000001</c:v>
                </c:pt>
                <c:pt idx="143">
                  <c:v>65670393.390000001</c:v>
                </c:pt>
                <c:pt idx="145">
                  <c:v>33694624</c:v>
                </c:pt>
                <c:pt idx="147">
                  <c:v>32870135</c:v>
                </c:pt>
                <c:pt idx="149">
                  <c:v>89442242.609999999</c:v>
                </c:pt>
                <c:pt idx="151">
                  <c:v>162147221</c:v>
                </c:pt>
                <c:pt idx="153">
                  <c:v>78112720</c:v>
                </c:pt>
                <c:pt idx="155">
                  <c:v>1126308333.4354999</c:v>
                </c:pt>
              </c:numCache>
            </c:numRef>
          </c:val>
        </c:ser>
        <c:ser>
          <c:idx val="4"/>
          <c:order val="4"/>
          <c:tx>
            <c:strRef>
              <c:f>Model!$AN$2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Model!$AN$3:$AN$158</c:f>
              <c:numCache>
                <c:formatCode>General</c:formatCode>
                <c:ptCount val="156"/>
                <c:pt idx="1">
                  <c:v>661265.65000000037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140162.65642801486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1547067.5341447666</c:v>
                </c:pt>
                <c:pt idx="29">
                  <c:v>529727.79910520464</c:v>
                </c:pt>
                <c:pt idx="31">
                  <c:v>0</c:v>
                </c:pt>
                <c:pt idx="33">
                  <c:v>45721.23322754429</c:v>
                </c:pt>
                <c:pt idx="35">
                  <c:v>0</c:v>
                </c:pt>
                <c:pt idx="37">
                  <c:v>0</c:v>
                </c:pt>
                <c:pt idx="39">
                  <c:v>917015.08822984993</c:v>
                </c:pt>
                <c:pt idx="41">
                  <c:v>1270847.2596325912</c:v>
                </c:pt>
                <c:pt idx="43">
                  <c:v>0</c:v>
                </c:pt>
                <c:pt idx="45">
                  <c:v>1059283.7735231575</c:v>
                </c:pt>
                <c:pt idx="47">
                  <c:v>0</c:v>
                </c:pt>
                <c:pt idx="49">
                  <c:v>0</c:v>
                </c:pt>
                <c:pt idx="51">
                  <c:v>0</c:v>
                </c:pt>
                <c:pt idx="53">
                  <c:v>0</c:v>
                </c:pt>
                <c:pt idx="55">
                  <c:v>177059.79486959521</c:v>
                </c:pt>
                <c:pt idx="57">
                  <c:v>0</c:v>
                </c:pt>
                <c:pt idx="59">
                  <c:v>0</c:v>
                </c:pt>
                <c:pt idx="61">
                  <c:v>1037512.6514731534</c:v>
                </c:pt>
                <c:pt idx="63">
                  <c:v>0</c:v>
                </c:pt>
                <c:pt idx="65">
                  <c:v>150210.40792154754</c:v>
                </c:pt>
                <c:pt idx="67">
                  <c:v>1057145.1833424345</c:v>
                </c:pt>
                <c:pt idx="69">
                  <c:v>204583.06590728462</c:v>
                </c:pt>
                <c:pt idx="71">
                  <c:v>106286.68050460983</c:v>
                </c:pt>
                <c:pt idx="73">
                  <c:v>1183847.6074163085</c:v>
                </c:pt>
                <c:pt idx="75">
                  <c:v>0</c:v>
                </c:pt>
                <c:pt idx="77">
                  <c:v>2263938.818205677</c:v>
                </c:pt>
                <c:pt idx="79">
                  <c:v>1005165.5300000003</c:v>
                </c:pt>
                <c:pt idx="81">
                  <c:v>0</c:v>
                </c:pt>
                <c:pt idx="83">
                  <c:v>499573.26000000536</c:v>
                </c:pt>
                <c:pt idx="85">
                  <c:v>0</c:v>
                </c:pt>
                <c:pt idx="87">
                  <c:v>6282203.6099999994</c:v>
                </c:pt>
                <c:pt idx="89">
                  <c:v>359417.96999999974</c:v>
                </c:pt>
                <c:pt idx="91">
                  <c:v>190676.40000000002</c:v>
                </c:pt>
                <c:pt idx="93">
                  <c:v>378291.19999999925</c:v>
                </c:pt>
                <c:pt idx="95">
                  <c:v>0</c:v>
                </c:pt>
                <c:pt idx="97">
                  <c:v>1248798.5599999987</c:v>
                </c:pt>
                <c:pt idx="99">
                  <c:v>154947.26999999955</c:v>
                </c:pt>
                <c:pt idx="101">
                  <c:v>1429559.4499999993</c:v>
                </c:pt>
                <c:pt idx="103">
                  <c:v>3838618.8500000015</c:v>
                </c:pt>
                <c:pt idx="105">
                  <c:v>243877.98000000045</c:v>
                </c:pt>
                <c:pt idx="107">
                  <c:v>1303365.379999999</c:v>
                </c:pt>
                <c:pt idx="109">
                  <c:v>0</c:v>
                </c:pt>
                <c:pt idx="111">
                  <c:v>0</c:v>
                </c:pt>
                <c:pt idx="113">
                  <c:v>0</c:v>
                </c:pt>
                <c:pt idx="115">
                  <c:v>1914551.3700000048</c:v>
                </c:pt>
                <c:pt idx="117">
                  <c:v>0</c:v>
                </c:pt>
                <c:pt idx="119">
                  <c:v>0</c:v>
                </c:pt>
                <c:pt idx="121">
                  <c:v>0</c:v>
                </c:pt>
                <c:pt idx="123">
                  <c:v>9636489.2699999958</c:v>
                </c:pt>
                <c:pt idx="125">
                  <c:v>0</c:v>
                </c:pt>
                <c:pt idx="127">
                  <c:v>0</c:v>
                </c:pt>
                <c:pt idx="129">
                  <c:v>0</c:v>
                </c:pt>
                <c:pt idx="131">
                  <c:v>0</c:v>
                </c:pt>
                <c:pt idx="133">
                  <c:v>0</c:v>
                </c:pt>
                <c:pt idx="135">
                  <c:v>0</c:v>
                </c:pt>
                <c:pt idx="137">
                  <c:v>706679.55999999866</c:v>
                </c:pt>
                <c:pt idx="139">
                  <c:v>1000554.5999999996</c:v>
                </c:pt>
                <c:pt idx="141">
                  <c:v>0</c:v>
                </c:pt>
                <c:pt idx="143">
                  <c:v>0</c:v>
                </c:pt>
                <c:pt idx="145">
                  <c:v>3926835.1199999973</c:v>
                </c:pt>
                <c:pt idx="147">
                  <c:v>1441697.0300000012</c:v>
                </c:pt>
                <c:pt idx="149">
                  <c:v>0</c:v>
                </c:pt>
                <c:pt idx="151">
                  <c:v>16759282.859999985</c:v>
                </c:pt>
                <c:pt idx="153">
                  <c:v>3663759.2600000054</c:v>
                </c:pt>
                <c:pt idx="155">
                  <c:v>18480055.763499975</c:v>
                </c:pt>
              </c:numCache>
            </c:numRef>
          </c:val>
        </c:ser>
        <c:ser>
          <c:idx val="5"/>
          <c:order val="5"/>
          <c:tx>
            <c:strRef>
              <c:f>Model!$AO$2</c:f>
              <c:strCache>
                <c:ptCount val="1"/>
                <c:pt idx="0">
                  <c:v>Decrease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Model!$AO$3:$AO$158</c:f>
              <c:numCache>
                <c:formatCode>General</c:formatCode>
                <c:ptCount val="156"/>
                <c:pt idx="1">
                  <c:v>0</c:v>
                </c:pt>
                <c:pt idx="3">
                  <c:v>1996933.25</c:v>
                </c:pt>
                <c:pt idx="5">
                  <c:v>2080509.5</c:v>
                </c:pt>
                <c:pt idx="7">
                  <c:v>145092.5</c:v>
                </c:pt>
                <c:pt idx="9">
                  <c:v>4260108.5547865555</c:v>
                </c:pt>
                <c:pt idx="11">
                  <c:v>2604308.0483835153</c:v>
                </c:pt>
                <c:pt idx="13">
                  <c:v>6644256.7918019965</c:v>
                </c:pt>
                <c:pt idx="15">
                  <c:v>2399895.1566130109</c:v>
                </c:pt>
                <c:pt idx="17">
                  <c:v>6781223.2567526177</c:v>
                </c:pt>
                <c:pt idx="19">
                  <c:v>0</c:v>
                </c:pt>
                <c:pt idx="21">
                  <c:v>3487409.5210699439</c:v>
                </c:pt>
                <c:pt idx="23">
                  <c:v>176159.60843733698</c:v>
                </c:pt>
                <c:pt idx="25">
                  <c:v>2241448.6981281303</c:v>
                </c:pt>
                <c:pt idx="27">
                  <c:v>0</c:v>
                </c:pt>
                <c:pt idx="29">
                  <c:v>0</c:v>
                </c:pt>
                <c:pt idx="31">
                  <c:v>700525.50767806917</c:v>
                </c:pt>
                <c:pt idx="33">
                  <c:v>0</c:v>
                </c:pt>
                <c:pt idx="35">
                  <c:v>1022533.6128163226</c:v>
                </c:pt>
                <c:pt idx="37">
                  <c:v>829945.54171767272</c:v>
                </c:pt>
                <c:pt idx="39">
                  <c:v>0</c:v>
                </c:pt>
                <c:pt idx="41">
                  <c:v>0</c:v>
                </c:pt>
                <c:pt idx="43">
                  <c:v>1869230.457596235</c:v>
                </c:pt>
                <c:pt idx="45">
                  <c:v>0</c:v>
                </c:pt>
                <c:pt idx="47">
                  <c:v>891875.12567432225</c:v>
                </c:pt>
                <c:pt idx="49">
                  <c:v>2840313.2289376818</c:v>
                </c:pt>
                <c:pt idx="51">
                  <c:v>288370.35880913772</c:v>
                </c:pt>
                <c:pt idx="53">
                  <c:v>493472.80171130784</c:v>
                </c:pt>
                <c:pt idx="55">
                  <c:v>0</c:v>
                </c:pt>
                <c:pt idx="57">
                  <c:v>1359032.0311686341</c:v>
                </c:pt>
                <c:pt idx="59">
                  <c:v>2981780.2064818442</c:v>
                </c:pt>
                <c:pt idx="61">
                  <c:v>0</c:v>
                </c:pt>
                <c:pt idx="63">
                  <c:v>126777.98077926785</c:v>
                </c:pt>
                <c:pt idx="65">
                  <c:v>0</c:v>
                </c:pt>
                <c:pt idx="67">
                  <c:v>0</c:v>
                </c:pt>
                <c:pt idx="69">
                  <c:v>0</c:v>
                </c:pt>
                <c:pt idx="71">
                  <c:v>0</c:v>
                </c:pt>
                <c:pt idx="73">
                  <c:v>0</c:v>
                </c:pt>
                <c:pt idx="75">
                  <c:v>93868.166866891785</c:v>
                </c:pt>
                <c:pt idx="77">
                  <c:v>0</c:v>
                </c:pt>
                <c:pt idx="79">
                  <c:v>0</c:v>
                </c:pt>
                <c:pt idx="81">
                  <c:v>518075.65000000037</c:v>
                </c:pt>
                <c:pt idx="83">
                  <c:v>0</c:v>
                </c:pt>
                <c:pt idx="85">
                  <c:v>2842571.8599999994</c:v>
                </c:pt>
                <c:pt idx="87">
                  <c:v>0</c:v>
                </c:pt>
                <c:pt idx="89">
                  <c:v>0</c:v>
                </c:pt>
                <c:pt idx="91">
                  <c:v>0</c:v>
                </c:pt>
                <c:pt idx="93">
                  <c:v>0</c:v>
                </c:pt>
                <c:pt idx="95">
                  <c:v>926656.62000000104</c:v>
                </c:pt>
                <c:pt idx="97">
                  <c:v>0</c:v>
                </c:pt>
                <c:pt idx="99">
                  <c:v>0</c:v>
                </c:pt>
                <c:pt idx="101">
                  <c:v>0</c:v>
                </c:pt>
                <c:pt idx="103">
                  <c:v>0</c:v>
                </c:pt>
                <c:pt idx="105">
                  <c:v>0</c:v>
                </c:pt>
                <c:pt idx="107">
                  <c:v>0</c:v>
                </c:pt>
                <c:pt idx="109">
                  <c:v>1317300.1400000006</c:v>
                </c:pt>
                <c:pt idx="111">
                  <c:v>781517.14999999851</c:v>
                </c:pt>
                <c:pt idx="113">
                  <c:v>1116920.1099999994</c:v>
                </c:pt>
                <c:pt idx="115">
                  <c:v>0</c:v>
                </c:pt>
                <c:pt idx="117">
                  <c:v>837663.80000000075</c:v>
                </c:pt>
                <c:pt idx="119">
                  <c:v>97335.309999998659</c:v>
                </c:pt>
                <c:pt idx="121">
                  <c:v>2498584.5100000016</c:v>
                </c:pt>
                <c:pt idx="123">
                  <c:v>0</c:v>
                </c:pt>
                <c:pt idx="125">
                  <c:v>405750.8200000003</c:v>
                </c:pt>
                <c:pt idx="127">
                  <c:v>1064362.3000000007</c:v>
                </c:pt>
                <c:pt idx="129">
                  <c:v>789541.6799999997</c:v>
                </c:pt>
                <c:pt idx="131">
                  <c:v>2657877.5100000016</c:v>
                </c:pt>
                <c:pt idx="133">
                  <c:v>178737.39999999851</c:v>
                </c:pt>
                <c:pt idx="135">
                  <c:v>1200768.2699999996</c:v>
                </c:pt>
                <c:pt idx="137">
                  <c:v>0</c:v>
                </c:pt>
                <c:pt idx="139">
                  <c:v>0</c:v>
                </c:pt>
                <c:pt idx="141">
                  <c:v>378507.05999999866</c:v>
                </c:pt>
                <c:pt idx="143">
                  <c:v>6598127.6099999994</c:v>
                </c:pt>
                <c:pt idx="145">
                  <c:v>0</c:v>
                </c:pt>
                <c:pt idx="147">
                  <c:v>0</c:v>
                </c:pt>
                <c:pt idx="149">
                  <c:v>7243816.3900000006</c:v>
                </c:pt>
                <c:pt idx="151">
                  <c:v>0</c:v>
                </c:pt>
                <c:pt idx="153">
                  <c:v>0</c:v>
                </c:pt>
                <c:pt idx="1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5376128"/>
        <c:axId val="75377664"/>
      </c:barChart>
      <c:catAx>
        <c:axId val="7537612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75377664"/>
        <c:crosses val="autoZero"/>
        <c:auto val="1"/>
        <c:lblAlgn val="ctr"/>
        <c:lblOffset val="100"/>
        <c:tickMarkSkip val="2"/>
        <c:noMultiLvlLbl val="0"/>
      </c:catAx>
      <c:valAx>
        <c:axId val="75377664"/>
        <c:scaling>
          <c:orientation val="minMax"/>
          <c:max val="1300000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75376128"/>
        <c:crosses val="max"/>
        <c:crossBetween val="between"/>
        <c:dispUnits>
          <c:builtInUnit val="millions"/>
        </c:dispUnits>
      </c:valAx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Inputs!$J$3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Inputs!$J$4:$J$81</c:f>
              <c:numCache>
                <c:formatCode>General</c:formatCode>
                <c:ptCount val="78"/>
                <c:pt idx="0">
                  <c:v>24592824</c:v>
                </c:pt>
                <c:pt idx="1">
                  <c:v>16745194</c:v>
                </c:pt>
                <c:pt idx="2">
                  <c:v>21881297</c:v>
                </c:pt>
                <c:pt idx="3">
                  <c:v>557627220.22000003</c:v>
                </c:pt>
                <c:pt idx="4">
                  <c:v>21893199</c:v>
                </c:pt>
                <c:pt idx="5">
                  <c:v>5506510.9900000002</c:v>
                </c:pt>
                <c:pt idx="6">
                  <c:v>10646834</c:v>
                </c:pt>
                <c:pt idx="7">
                  <c:v>4983227</c:v>
                </c:pt>
                <c:pt idx="8">
                  <c:v>5055331</c:v>
                </c:pt>
                <c:pt idx="9">
                  <c:v>66312932</c:v>
                </c:pt>
                <c:pt idx="10">
                  <c:v>10804463</c:v>
                </c:pt>
                <c:pt idx="11">
                  <c:v>28463040.539999999</c:v>
                </c:pt>
                <c:pt idx="12">
                  <c:v>12336991</c:v>
                </c:pt>
                <c:pt idx="13">
                  <c:v>7196417</c:v>
                </c:pt>
                <c:pt idx="14">
                  <c:v>448315</c:v>
                </c:pt>
                <c:pt idx="15">
                  <c:v>2051580</c:v>
                </c:pt>
                <c:pt idx="16">
                  <c:v>11384724</c:v>
                </c:pt>
                <c:pt idx="17">
                  <c:v>15018617</c:v>
                </c:pt>
                <c:pt idx="18">
                  <c:v>12537386</c:v>
                </c:pt>
                <c:pt idx="19">
                  <c:v>8927289</c:v>
                </c:pt>
                <c:pt idx="20">
                  <c:v>20645971</c:v>
                </c:pt>
                <c:pt idx="21">
                  <c:v>9422754</c:v>
                </c:pt>
                <c:pt idx="22">
                  <c:v>18069680</c:v>
                </c:pt>
                <c:pt idx="23">
                  <c:v>6329133</c:v>
                </c:pt>
                <c:pt idx="24">
                  <c:v>6937548</c:v>
                </c:pt>
                <c:pt idx="25">
                  <c:v>14366072</c:v>
                </c:pt>
                <c:pt idx="26">
                  <c:v>12175817</c:v>
                </c:pt>
                <c:pt idx="27">
                  <c:v>4215946</c:v>
                </c:pt>
                <c:pt idx="28">
                  <c:v>4274376</c:v>
                </c:pt>
                <c:pt idx="29">
                  <c:v>9114007</c:v>
                </c:pt>
                <c:pt idx="30">
                  <c:v>10599193</c:v>
                </c:pt>
                <c:pt idx="31">
                  <c:v>15094314</c:v>
                </c:pt>
                <c:pt idx="32">
                  <c:v>11071370</c:v>
                </c:pt>
                <c:pt idx="33">
                  <c:v>11017226</c:v>
                </c:pt>
                <c:pt idx="34">
                  <c:v>11448168</c:v>
                </c:pt>
                <c:pt idx="35">
                  <c:v>2719082</c:v>
                </c:pt>
                <c:pt idx="36">
                  <c:v>6059560</c:v>
                </c:pt>
                <c:pt idx="37">
                  <c:v>14078286</c:v>
                </c:pt>
                <c:pt idx="38">
                  <c:v>6175141</c:v>
                </c:pt>
                <c:pt idx="39">
                  <c:v>3741388</c:v>
                </c:pt>
                <c:pt idx="40">
                  <c:v>2905631</c:v>
                </c:pt>
                <c:pt idx="41">
                  <c:v>4064945</c:v>
                </c:pt>
                <c:pt idx="42">
                  <c:v>32160737</c:v>
                </c:pt>
                <c:pt idx="43">
                  <c:v>717305</c:v>
                </c:pt>
                <c:pt idx="44">
                  <c:v>10149303</c:v>
                </c:pt>
                <c:pt idx="45">
                  <c:v>5768273</c:v>
                </c:pt>
                <c:pt idx="46">
                  <c:v>11979320</c:v>
                </c:pt>
                <c:pt idx="47">
                  <c:v>9427300</c:v>
                </c:pt>
                <c:pt idx="48">
                  <c:v>54049307</c:v>
                </c:pt>
                <c:pt idx="49">
                  <c:v>6054273</c:v>
                </c:pt>
                <c:pt idx="50">
                  <c:v>2325208</c:v>
                </c:pt>
                <c:pt idx="51">
                  <c:v>8765662</c:v>
                </c:pt>
                <c:pt idx="52">
                  <c:v>11174750</c:v>
                </c:pt>
                <c:pt idx="53">
                  <c:v>8373130</c:v>
                </c:pt>
                <c:pt idx="54">
                  <c:v>2920552</c:v>
                </c:pt>
                <c:pt idx="55">
                  <c:v>3918287</c:v>
                </c:pt>
                <c:pt idx="56">
                  <c:v>5842328</c:v>
                </c:pt>
                <c:pt idx="57">
                  <c:v>3794227</c:v>
                </c:pt>
                <c:pt idx="58">
                  <c:v>5987900</c:v>
                </c:pt>
                <c:pt idx="59">
                  <c:v>12561838</c:v>
                </c:pt>
                <c:pt idx="60">
                  <c:v>37986904</c:v>
                </c:pt>
                <c:pt idx="61">
                  <c:v>19348545</c:v>
                </c:pt>
                <c:pt idx="62">
                  <c:v>7341614</c:v>
                </c:pt>
                <c:pt idx="63">
                  <c:v>3166194</c:v>
                </c:pt>
                <c:pt idx="64">
                  <c:v>14977931</c:v>
                </c:pt>
                <c:pt idx="65">
                  <c:v>20751246</c:v>
                </c:pt>
                <c:pt idx="66">
                  <c:v>5198105</c:v>
                </c:pt>
                <c:pt idx="67">
                  <c:v>1425890</c:v>
                </c:pt>
                <c:pt idx="68">
                  <c:v>17493743</c:v>
                </c:pt>
                <c:pt idx="69">
                  <c:v>10016107</c:v>
                </c:pt>
                <c:pt idx="70">
                  <c:v>2972269</c:v>
                </c:pt>
                <c:pt idx="71">
                  <c:v>1625357</c:v>
                </c:pt>
                <c:pt idx="72">
                  <c:v>5066187</c:v>
                </c:pt>
                <c:pt idx="73">
                  <c:v>83001494</c:v>
                </c:pt>
                <c:pt idx="74">
                  <c:v>110645</c:v>
                </c:pt>
                <c:pt idx="75">
                  <c:v>41692465</c:v>
                </c:pt>
                <c:pt idx="76">
                  <c:v>6172055</c:v>
                </c:pt>
                <c:pt idx="77">
                  <c:v>141210</c:v>
                </c:pt>
              </c:numCache>
            </c:numRef>
          </c:val>
        </c:ser>
        <c:ser>
          <c:idx val="1"/>
          <c:order val="1"/>
          <c:tx>
            <c:strRef>
              <c:f>Inputs!$K$3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Inputs!$K$4:$K$81</c:f>
              <c:numCache>
                <c:formatCode>General</c:formatCode>
                <c:ptCount val="78"/>
                <c:pt idx="0">
                  <c:v>14478139</c:v>
                </c:pt>
                <c:pt idx="1">
                  <c:v>10403574</c:v>
                </c:pt>
                <c:pt idx="2">
                  <c:v>11947675</c:v>
                </c:pt>
                <c:pt idx="3">
                  <c:v>290601636.21000004</c:v>
                </c:pt>
                <c:pt idx="4">
                  <c:v>11097129</c:v>
                </c:pt>
                <c:pt idx="5">
                  <c:v>2984866.49</c:v>
                </c:pt>
                <c:pt idx="6">
                  <c:v>5197903</c:v>
                </c:pt>
                <c:pt idx="7">
                  <c:v>2678982</c:v>
                </c:pt>
                <c:pt idx="8">
                  <c:v>2546931</c:v>
                </c:pt>
                <c:pt idx="9">
                  <c:v>34751736.590000004</c:v>
                </c:pt>
                <c:pt idx="10">
                  <c:v>4774444</c:v>
                </c:pt>
                <c:pt idx="11">
                  <c:v>15006873.300000001</c:v>
                </c:pt>
                <c:pt idx="12">
                  <c:v>6142324</c:v>
                </c:pt>
                <c:pt idx="13">
                  <c:v>4229677</c:v>
                </c:pt>
                <c:pt idx="14">
                  <c:v>301685</c:v>
                </c:pt>
                <c:pt idx="15">
                  <c:v>1056305</c:v>
                </c:pt>
                <c:pt idx="16">
                  <c:v>5497269</c:v>
                </c:pt>
                <c:pt idx="17">
                  <c:v>7066218</c:v>
                </c:pt>
                <c:pt idx="18">
                  <c:v>5723334</c:v>
                </c:pt>
                <c:pt idx="19">
                  <c:v>4611963</c:v>
                </c:pt>
                <c:pt idx="20">
                  <c:v>12432470</c:v>
                </c:pt>
                <c:pt idx="21">
                  <c:v>5471731</c:v>
                </c:pt>
                <c:pt idx="22">
                  <c:v>9613370</c:v>
                </c:pt>
                <c:pt idx="23">
                  <c:v>3110665</c:v>
                </c:pt>
                <c:pt idx="24">
                  <c:v>4729213</c:v>
                </c:pt>
                <c:pt idx="25">
                  <c:v>7701381</c:v>
                </c:pt>
                <c:pt idx="26">
                  <c:v>6265873</c:v>
                </c:pt>
                <c:pt idx="27">
                  <c:v>2238769</c:v>
                </c:pt>
                <c:pt idx="28">
                  <c:v>2050372</c:v>
                </c:pt>
                <c:pt idx="29">
                  <c:v>4788588</c:v>
                </c:pt>
                <c:pt idx="30">
                  <c:v>5222720</c:v>
                </c:pt>
                <c:pt idx="31">
                  <c:v>10118148</c:v>
                </c:pt>
                <c:pt idx="32">
                  <c:v>7506466</c:v>
                </c:pt>
                <c:pt idx="33">
                  <c:v>6722970</c:v>
                </c:pt>
                <c:pt idx="34">
                  <c:v>7444270</c:v>
                </c:pt>
                <c:pt idx="35">
                  <c:v>1439267</c:v>
                </c:pt>
                <c:pt idx="36">
                  <c:v>2792071.66</c:v>
                </c:pt>
                <c:pt idx="37">
                  <c:v>6835395</c:v>
                </c:pt>
                <c:pt idx="38">
                  <c:v>3453903</c:v>
                </c:pt>
                <c:pt idx="39">
                  <c:v>1708025</c:v>
                </c:pt>
                <c:pt idx="40">
                  <c:v>1674675</c:v>
                </c:pt>
                <c:pt idx="41">
                  <c:v>1894432</c:v>
                </c:pt>
                <c:pt idx="42">
                  <c:v>14753434</c:v>
                </c:pt>
                <c:pt idx="43">
                  <c:v>347690</c:v>
                </c:pt>
                <c:pt idx="44">
                  <c:v>4930349</c:v>
                </c:pt>
                <c:pt idx="45">
                  <c:v>2734120</c:v>
                </c:pt>
                <c:pt idx="46">
                  <c:v>6154278</c:v>
                </c:pt>
                <c:pt idx="47">
                  <c:v>4589634</c:v>
                </c:pt>
                <c:pt idx="48">
                  <c:v>25458937</c:v>
                </c:pt>
                <c:pt idx="49">
                  <c:v>3191486</c:v>
                </c:pt>
                <c:pt idx="50">
                  <c:v>1272647</c:v>
                </c:pt>
                <c:pt idx="51">
                  <c:v>4359430</c:v>
                </c:pt>
                <c:pt idx="52">
                  <c:v>5958297</c:v>
                </c:pt>
                <c:pt idx="53">
                  <c:v>4209907</c:v>
                </c:pt>
                <c:pt idx="54">
                  <c:v>1542049</c:v>
                </c:pt>
                <c:pt idx="55">
                  <c:v>2610495</c:v>
                </c:pt>
                <c:pt idx="56">
                  <c:v>3799932</c:v>
                </c:pt>
                <c:pt idx="57">
                  <c:v>2492759</c:v>
                </c:pt>
                <c:pt idx="58">
                  <c:v>3156365</c:v>
                </c:pt>
                <c:pt idx="59">
                  <c:v>7723153</c:v>
                </c:pt>
                <c:pt idx="60">
                  <c:v>22768423</c:v>
                </c:pt>
                <c:pt idx="61">
                  <c:v>11140260</c:v>
                </c:pt>
                <c:pt idx="62">
                  <c:v>4331667</c:v>
                </c:pt>
                <c:pt idx="63">
                  <c:v>1807004</c:v>
                </c:pt>
                <c:pt idx="64">
                  <c:v>10186768</c:v>
                </c:pt>
                <c:pt idx="65">
                  <c:v>11476635</c:v>
                </c:pt>
                <c:pt idx="66">
                  <c:v>4752383</c:v>
                </c:pt>
                <c:pt idx="67">
                  <c:v>822879</c:v>
                </c:pt>
                <c:pt idx="68">
                  <c:v>9414313</c:v>
                </c:pt>
                <c:pt idx="69">
                  <c:v>5325113</c:v>
                </c:pt>
                <c:pt idx="70">
                  <c:v>1759383</c:v>
                </c:pt>
                <c:pt idx="71">
                  <c:v>837970</c:v>
                </c:pt>
                <c:pt idx="72">
                  <c:v>2943642</c:v>
                </c:pt>
                <c:pt idx="73">
                  <c:v>45828869</c:v>
                </c:pt>
                <c:pt idx="74">
                  <c:v>65920</c:v>
                </c:pt>
                <c:pt idx="75">
                  <c:v>22134700</c:v>
                </c:pt>
                <c:pt idx="76">
                  <c:v>3388737</c:v>
                </c:pt>
                <c:pt idx="77">
                  <c:v>126210</c:v>
                </c:pt>
              </c:numCache>
            </c:numRef>
          </c:val>
        </c:ser>
        <c:ser>
          <c:idx val="2"/>
          <c:order val="2"/>
          <c:tx>
            <c:strRef>
              <c:f>Inputs!$L$3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Inputs!$L$4:$L$81</c:f>
              <c:numCache>
                <c:formatCode>General</c:formatCode>
                <c:ptCount val="78"/>
                <c:pt idx="0">
                  <c:v>25527552</c:v>
                </c:pt>
                <c:pt idx="1">
                  <c:v>16188473</c:v>
                </c:pt>
                <c:pt idx="2">
                  <c:v>28961958</c:v>
                </c:pt>
                <c:pt idx="3">
                  <c:v>551041699.88</c:v>
                </c:pt>
                <c:pt idx="4">
                  <c:v>45574060</c:v>
                </c:pt>
                <c:pt idx="5">
                  <c:v>5123074.0199999996</c:v>
                </c:pt>
                <c:pt idx="6">
                  <c:v>10722358</c:v>
                </c:pt>
                <c:pt idx="7">
                  <c:v>5261060</c:v>
                </c:pt>
                <c:pt idx="8">
                  <c:v>5090578</c:v>
                </c:pt>
                <c:pt idx="9">
                  <c:v>24630478</c:v>
                </c:pt>
                <c:pt idx="10">
                  <c:v>10312369</c:v>
                </c:pt>
                <c:pt idx="11">
                  <c:v>28606298.93</c:v>
                </c:pt>
                <c:pt idx="12">
                  <c:v>11593236</c:v>
                </c:pt>
                <c:pt idx="13">
                  <c:v>7819862</c:v>
                </c:pt>
                <c:pt idx="14">
                  <c:v>524652</c:v>
                </c:pt>
                <c:pt idx="15">
                  <c:v>2186430</c:v>
                </c:pt>
                <c:pt idx="16">
                  <c:v>10981629</c:v>
                </c:pt>
                <c:pt idx="17">
                  <c:v>17713396</c:v>
                </c:pt>
                <c:pt idx="18">
                  <c:v>13939226</c:v>
                </c:pt>
                <c:pt idx="19">
                  <c:v>11988632</c:v>
                </c:pt>
                <c:pt idx="20">
                  <c:v>20840655</c:v>
                </c:pt>
                <c:pt idx="21">
                  <c:v>11229752</c:v>
                </c:pt>
                <c:pt idx="22">
                  <c:v>21167653</c:v>
                </c:pt>
                <c:pt idx="23">
                  <c:v>5961098</c:v>
                </c:pt>
                <c:pt idx="24">
                  <c:v>7186610</c:v>
                </c:pt>
                <c:pt idx="25">
                  <c:v>14896049</c:v>
                </c:pt>
                <c:pt idx="26">
                  <c:v>11528293</c:v>
                </c:pt>
                <c:pt idx="27">
                  <c:v>3878787</c:v>
                </c:pt>
                <c:pt idx="28">
                  <c:v>4006260</c:v>
                </c:pt>
                <c:pt idx="29">
                  <c:v>10987084</c:v>
                </c:pt>
                <c:pt idx="30">
                  <c:v>8255869</c:v>
                </c:pt>
                <c:pt idx="31">
                  <c:v>12854686</c:v>
                </c:pt>
                <c:pt idx="32">
                  <c:v>11134342</c:v>
                </c:pt>
                <c:pt idx="33">
                  <c:v>9712692</c:v>
                </c:pt>
                <c:pt idx="34">
                  <c:v>12065397</c:v>
                </c:pt>
                <c:pt idx="35">
                  <c:v>2454185</c:v>
                </c:pt>
                <c:pt idx="36">
                  <c:v>5040088</c:v>
                </c:pt>
                <c:pt idx="37">
                  <c:v>14401556</c:v>
                </c:pt>
                <c:pt idx="38">
                  <c:v>5747414</c:v>
                </c:pt>
                <c:pt idx="39">
                  <c:v>3992459</c:v>
                </c:pt>
                <c:pt idx="40">
                  <c:v>3132030</c:v>
                </c:pt>
                <c:pt idx="41">
                  <c:v>5355659</c:v>
                </c:pt>
                <c:pt idx="42">
                  <c:v>35501931</c:v>
                </c:pt>
                <c:pt idx="43">
                  <c:v>628912</c:v>
                </c:pt>
                <c:pt idx="44">
                  <c:v>10932465</c:v>
                </c:pt>
                <c:pt idx="45">
                  <c:v>5608298</c:v>
                </c:pt>
                <c:pt idx="46">
                  <c:v>12869690</c:v>
                </c:pt>
                <c:pt idx="47">
                  <c:v>9528015</c:v>
                </c:pt>
                <c:pt idx="48">
                  <c:v>32582886</c:v>
                </c:pt>
                <c:pt idx="49">
                  <c:v>6593343</c:v>
                </c:pt>
                <c:pt idx="50">
                  <c:v>2420667</c:v>
                </c:pt>
                <c:pt idx="51">
                  <c:v>10150938</c:v>
                </c:pt>
                <c:pt idx="52">
                  <c:v>10408609</c:v>
                </c:pt>
                <c:pt idx="53">
                  <c:v>7721833</c:v>
                </c:pt>
                <c:pt idx="54">
                  <c:v>3485686</c:v>
                </c:pt>
                <c:pt idx="55">
                  <c:v>3956235</c:v>
                </c:pt>
                <c:pt idx="56">
                  <c:v>5032075</c:v>
                </c:pt>
                <c:pt idx="57">
                  <c:v>3876282</c:v>
                </c:pt>
                <c:pt idx="58">
                  <c:v>6604583</c:v>
                </c:pt>
                <c:pt idx="59">
                  <c:v>15295981</c:v>
                </c:pt>
                <c:pt idx="60">
                  <c:v>37917889</c:v>
                </c:pt>
                <c:pt idx="61">
                  <c:v>16002463</c:v>
                </c:pt>
                <c:pt idx="62">
                  <c:v>8364329</c:v>
                </c:pt>
                <c:pt idx="63">
                  <c:v>3804472</c:v>
                </c:pt>
                <c:pt idx="64">
                  <c:v>11955248</c:v>
                </c:pt>
                <c:pt idx="65">
                  <c:v>21591661</c:v>
                </c:pt>
                <c:pt idx="66">
                  <c:v>3721070</c:v>
                </c:pt>
                <c:pt idx="67">
                  <c:v>1220728</c:v>
                </c:pt>
                <c:pt idx="68">
                  <c:v>17447192</c:v>
                </c:pt>
                <c:pt idx="69">
                  <c:v>9818753</c:v>
                </c:pt>
                <c:pt idx="70">
                  <c:v>3262529</c:v>
                </c:pt>
                <c:pt idx="71">
                  <c:v>2222754</c:v>
                </c:pt>
                <c:pt idx="72">
                  <c:v>5241031</c:v>
                </c:pt>
                <c:pt idx="73">
                  <c:v>85447865</c:v>
                </c:pt>
                <c:pt idx="74">
                  <c:v>195682</c:v>
                </c:pt>
                <c:pt idx="75">
                  <c:v>40897446</c:v>
                </c:pt>
                <c:pt idx="76">
                  <c:v>6897460</c:v>
                </c:pt>
                <c:pt idx="77">
                  <c:v>199468</c:v>
                </c:pt>
              </c:numCache>
            </c:numRef>
          </c:val>
        </c:ser>
        <c:ser>
          <c:idx val="3"/>
          <c:order val="3"/>
          <c:tx>
            <c:strRef>
              <c:f>Inputs!$M$3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Inputs!$M$4:$M$81</c:f>
              <c:numCache>
                <c:formatCode>General</c:formatCode>
                <c:ptCount val="78"/>
                <c:pt idx="0">
                  <c:v>15071796</c:v>
                </c:pt>
                <c:pt idx="1">
                  <c:v>9982226</c:v>
                </c:pt>
                <c:pt idx="2">
                  <c:v>16328687</c:v>
                </c:pt>
                <c:pt idx="3">
                  <c:v>285596106.75999999</c:v>
                </c:pt>
                <c:pt idx="4">
                  <c:v>24074077</c:v>
                </c:pt>
                <c:pt idx="5">
                  <c:v>2806040.6799999997</c:v>
                </c:pt>
                <c:pt idx="6">
                  <c:v>5244203</c:v>
                </c:pt>
                <c:pt idx="7">
                  <c:v>2832973</c:v>
                </c:pt>
                <c:pt idx="8">
                  <c:v>2566102</c:v>
                </c:pt>
                <c:pt idx="9">
                  <c:v>12692184.100000001</c:v>
                </c:pt>
                <c:pt idx="10">
                  <c:v>4566094</c:v>
                </c:pt>
                <c:pt idx="11">
                  <c:v>15144551.559999999</c:v>
                </c:pt>
                <c:pt idx="12">
                  <c:v>5705276</c:v>
                </c:pt>
                <c:pt idx="13">
                  <c:v>4569181</c:v>
                </c:pt>
                <c:pt idx="14">
                  <c:v>356469</c:v>
                </c:pt>
                <c:pt idx="15">
                  <c:v>1123231</c:v>
                </c:pt>
                <c:pt idx="16">
                  <c:v>5273107</c:v>
                </c:pt>
                <c:pt idx="17">
                  <c:v>8453983</c:v>
                </c:pt>
                <c:pt idx="18">
                  <c:v>6416157</c:v>
                </c:pt>
                <c:pt idx="19">
                  <c:v>6705604</c:v>
                </c:pt>
                <c:pt idx="20">
                  <c:v>12497611</c:v>
                </c:pt>
                <c:pt idx="21">
                  <c:v>6559227</c:v>
                </c:pt>
                <c:pt idx="22">
                  <c:v>11461557</c:v>
                </c:pt>
                <c:pt idx="23">
                  <c:v>2934831</c:v>
                </c:pt>
                <c:pt idx="24">
                  <c:v>4867981</c:v>
                </c:pt>
                <c:pt idx="25">
                  <c:v>7853123</c:v>
                </c:pt>
                <c:pt idx="26">
                  <c:v>5901730</c:v>
                </c:pt>
                <c:pt idx="27">
                  <c:v>2092417</c:v>
                </c:pt>
                <c:pt idx="28">
                  <c:v>1899728</c:v>
                </c:pt>
                <c:pt idx="29">
                  <c:v>5832865</c:v>
                </c:pt>
                <c:pt idx="30">
                  <c:v>3967112</c:v>
                </c:pt>
                <c:pt idx="31">
                  <c:v>8057968</c:v>
                </c:pt>
                <c:pt idx="32">
                  <c:v>7434164</c:v>
                </c:pt>
                <c:pt idx="33">
                  <c:v>5902469</c:v>
                </c:pt>
                <c:pt idx="34">
                  <c:v>7798714</c:v>
                </c:pt>
                <c:pt idx="35">
                  <c:v>1296614</c:v>
                </c:pt>
                <c:pt idx="36">
                  <c:v>2318702.84</c:v>
                </c:pt>
                <c:pt idx="37">
                  <c:v>6962323</c:v>
                </c:pt>
                <c:pt idx="38">
                  <c:v>3240342</c:v>
                </c:pt>
                <c:pt idx="39">
                  <c:v>1842950</c:v>
                </c:pt>
                <c:pt idx="40">
                  <c:v>1799854</c:v>
                </c:pt>
                <c:pt idx="41">
                  <c:v>2634579</c:v>
                </c:pt>
                <c:pt idx="42">
                  <c:v>16450776</c:v>
                </c:pt>
                <c:pt idx="43">
                  <c:v>303806</c:v>
                </c:pt>
                <c:pt idx="44">
                  <c:v>5420935</c:v>
                </c:pt>
                <c:pt idx="45">
                  <c:v>2732840</c:v>
                </c:pt>
                <c:pt idx="46">
                  <c:v>6536061</c:v>
                </c:pt>
                <c:pt idx="47">
                  <c:v>4619509</c:v>
                </c:pt>
                <c:pt idx="48">
                  <c:v>15402965</c:v>
                </c:pt>
                <c:pt idx="49">
                  <c:v>3590903</c:v>
                </c:pt>
                <c:pt idx="50">
                  <c:v>1325767</c:v>
                </c:pt>
                <c:pt idx="51">
                  <c:v>5112567</c:v>
                </c:pt>
                <c:pt idx="52">
                  <c:v>5536237</c:v>
                </c:pt>
                <c:pt idx="53">
                  <c:v>3882965</c:v>
                </c:pt>
                <c:pt idx="54">
                  <c:v>1835043</c:v>
                </c:pt>
                <c:pt idx="55">
                  <c:v>2686057</c:v>
                </c:pt>
                <c:pt idx="56">
                  <c:v>3183755</c:v>
                </c:pt>
                <c:pt idx="57">
                  <c:v>2545841</c:v>
                </c:pt>
                <c:pt idx="58">
                  <c:v>3449904</c:v>
                </c:pt>
                <c:pt idx="59">
                  <c:v>9511782</c:v>
                </c:pt>
                <c:pt idx="60">
                  <c:v>22725205</c:v>
                </c:pt>
                <c:pt idx="61">
                  <c:v>9148995</c:v>
                </c:pt>
                <c:pt idx="62">
                  <c:v>4884216</c:v>
                </c:pt>
                <c:pt idx="63">
                  <c:v>2167434</c:v>
                </c:pt>
                <c:pt idx="64">
                  <c:v>7797648</c:v>
                </c:pt>
                <c:pt idx="65">
                  <c:v>12041298</c:v>
                </c:pt>
                <c:pt idx="66">
                  <c:v>3279704</c:v>
                </c:pt>
                <c:pt idx="67">
                  <c:v>702876</c:v>
                </c:pt>
                <c:pt idx="68">
                  <c:v>9327814</c:v>
                </c:pt>
                <c:pt idx="69">
                  <c:v>5228400</c:v>
                </c:pt>
                <c:pt idx="70">
                  <c:v>1954451</c:v>
                </c:pt>
                <c:pt idx="71">
                  <c:v>1165658</c:v>
                </c:pt>
                <c:pt idx="72">
                  <c:v>3027514</c:v>
                </c:pt>
                <c:pt idx="73">
                  <c:v>47583516</c:v>
                </c:pt>
                <c:pt idx="74">
                  <c:v>131478</c:v>
                </c:pt>
                <c:pt idx="75">
                  <c:v>21537995</c:v>
                </c:pt>
                <c:pt idx="76">
                  <c:v>3747075</c:v>
                </c:pt>
                <c:pt idx="77">
                  <c:v>168956</c:v>
                </c:pt>
              </c:numCache>
            </c:numRef>
          </c:val>
        </c:ser>
        <c:ser>
          <c:idx val="4"/>
          <c:order val="4"/>
          <c:tx>
            <c:strRef>
              <c:f>Inputs!$N$3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Inputs!$N$4:$N$81</c:f>
              <c:numCache>
                <c:formatCode>General</c:formatCode>
                <c:ptCount val="78"/>
                <c:pt idx="0">
                  <c:v>25530890</c:v>
                </c:pt>
                <c:pt idx="1">
                  <c:v>13720012</c:v>
                </c:pt>
                <c:pt idx="2">
                  <c:v>31918250</c:v>
                </c:pt>
                <c:pt idx="3">
                  <c:v>508630641</c:v>
                </c:pt>
                <c:pt idx="4">
                  <c:v>46782968</c:v>
                </c:pt>
                <c:pt idx="5">
                  <c:v>5773656</c:v>
                </c:pt>
                <c:pt idx="6">
                  <c:v>10522545</c:v>
                </c:pt>
                <c:pt idx="7">
                  <c:v>5300950</c:v>
                </c:pt>
                <c:pt idx="8">
                  <c:v>5219231</c:v>
                </c:pt>
                <c:pt idx="9">
                  <c:v>6274610</c:v>
                </c:pt>
                <c:pt idx="10">
                  <c:v>11193099</c:v>
                </c:pt>
                <c:pt idx="11">
                  <c:v>28841744</c:v>
                </c:pt>
                <c:pt idx="12">
                  <c:v>15780547</c:v>
                </c:pt>
                <c:pt idx="13">
                  <c:v>8254431</c:v>
                </c:pt>
                <c:pt idx="14">
                  <c:v>492254</c:v>
                </c:pt>
                <c:pt idx="15">
                  <c:v>2269249</c:v>
                </c:pt>
                <c:pt idx="16">
                  <c:v>14361550</c:v>
                </c:pt>
                <c:pt idx="17">
                  <c:v>13350578</c:v>
                </c:pt>
                <c:pt idx="18">
                  <c:v>15242102</c:v>
                </c:pt>
                <c:pt idx="19">
                  <c:v>8462308</c:v>
                </c:pt>
                <c:pt idx="20">
                  <c:v>21037196</c:v>
                </c:pt>
                <c:pt idx="21">
                  <c:v>11093361</c:v>
                </c:pt>
                <c:pt idx="22">
                  <c:v>19550790</c:v>
                </c:pt>
                <c:pt idx="23">
                  <c:v>7730184</c:v>
                </c:pt>
                <c:pt idx="24">
                  <c:v>8637754</c:v>
                </c:pt>
                <c:pt idx="25">
                  <c:v>16144738</c:v>
                </c:pt>
                <c:pt idx="26">
                  <c:v>12736193</c:v>
                </c:pt>
                <c:pt idx="27">
                  <c:v>4836136</c:v>
                </c:pt>
                <c:pt idx="28">
                  <c:v>4036213</c:v>
                </c:pt>
                <c:pt idx="29">
                  <c:v>11523678</c:v>
                </c:pt>
                <c:pt idx="30">
                  <c:v>8096665</c:v>
                </c:pt>
                <c:pt idx="31">
                  <c:v>11414001</c:v>
                </c:pt>
                <c:pt idx="32">
                  <c:v>11028112</c:v>
                </c:pt>
                <c:pt idx="33">
                  <c:v>12735602</c:v>
                </c:pt>
                <c:pt idx="34">
                  <c:v>11468734</c:v>
                </c:pt>
                <c:pt idx="35">
                  <c:v>3062473</c:v>
                </c:pt>
                <c:pt idx="36">
                  <c:v>7079477</c:v>
                </c:pt>
                <c:pt idx="37">
                  <c:v>15469179</c:v>
                </c:pt>
                <c:pt idx="38">
                  <c:v>8066308</c:v>
                </c:pt>
                <c:pt idx="39">
                  <c:v>3434364</c:v>
                </c:pt>
                <c:pt idx="40">
                  <c:v>4264728</c:v>
                </c:pt>
                <c:pt idx="41">
                  <c:v>7405862</c:v>
                </c:pt>
                <c:pt idx="42">
                  <c:v>35386502</c:v>
                </c:pt>
                <c:pt idx="43">
                  <c:v>1071323</c:v>
                </c:pt>
                <c:pt idx="44">
                  <c:v>11483475</c:v>
                </c:pt>
                <c:pt idx="45">
                  <c:v>6141025</c:v>
                </c:pt>
                <c:pt idx="46">
                  <c:v>14101456</c:v>
                </c:pt>
                <c:pt idx="47">
                  <c:v>10287886</c:v>
                </c:pt>
                <c:pt idx="48">
                  <c:v>43257184</c:v>
                </c:pt>
                <c:pt idx="49">
                  <c:v>6761148</c:v>
                </c:pt>
                <c:pt idx="50">
                  <c:v>2772502</c:v>
                </c:pt>
                <c:pt idx="51">
                  <c:v>10434517</c:v>
                </c:pt>
                <c:pt idx="52">
                  <c:v>12540538</c:v>
                </c:pt>
                <c:pt idx="53">
                  <c:v>10474753</c:v>
                </c:pt>
                <c:pt idx="54">
                  <c:v>3357743</c:v>
                </c:pt>
                <c:pt idx="55">
                  <c:v>3849412</c:v>
                </c:pt>
                <c:pt idx="56">
                  <c:v>4838722</c:v>
                </c:pt>
                <c:pt idx="57">
                  <c:v>3910079</c:v>
                </c:pt>
                <c:pt idx="58">
                  <c:v>6320626</c:v>
                </c:pt>
                <c:pt idx="59">
                  <c:v>14318193</c:v>
                </c:pt>
                <c:pt idx="60">
                  <c:v>27043111</c:v>
                </c:pt>
                <c:pt idx="61">
                  <c:v>22464856</c:v>
                </c:pt>
                <c:pt idx="62">
                  <c:v>9126815</c:v>
                </c:pt>
                <c:pt idx="63">
                  <c:v>3833149</c:v>
                </c:pt>
                <c:pt idx="64">
                  <c:v>11774278</c:v>
                </c:pt>
                <c:pt idx="65">
                  <c:v>27999147</c:v>
                </c:pt>
                <c:pt idx="66">
                  <c:v>3888390</c:v>
                </c:pt>
                <c:pt idx="67">
                  <c:v>1330525</c:v>
                </c:pt>
                <c:pt idx="68">
                  <c:v>17845297</c:v>
                </c:pt>
                <c:pt idx="69">
                  <c:v>10115928</c:v>
                </c:pt>
                <c:pt idx="70">
                  <c:v>4592421</c:v>
                </c:pt>
                <c:pt idx="71">
                  <c:v>2306952</c:v>
                </c:pt>
                <c:pt idx="72">
                  <c:v>5448598</c:v>
                </c:pt>
                <c:pt idx="73">
                  <c:v>99865473</c:v>
                </c:pt>
                <c:pt idx="74">
                  <c:v>258226</c:v>
                </c:pt>
                <c:pt idx="75">
                  <c:v>43692522</c:v>
                </c:pt>
                <c:pt idx="76">
                  <c:v>9035446</c:v>
                </c:pt>
                <c:pt idx="77">
                  <c:v>125276</c:v>
                </c:pt>
              </c:numCache>
            </c:numRef>
          </c:val>
        </c:ser>
        <c:ser>
          <c:idx val="5"/>
          <c:order val="5"/>
          <c:tx>
            <c:strRef>
              <c:f>Inputs!$O$3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Inputs!$O$4:$O$81</c:f>
              <c:numCache>
                <c:formatCode>General</c:formatCode>
                <c:ptCount val="78"/>
                <c:pt idx="0">
                  <c:v>14664286</c:v>
                </c:pt>
                <c:pt idx="1">
                  <c:v>8319308</c:v>
                </c:pt>
                <c:pt idx="2">
                  <c:v>16858050</c:v>
                </c:pt>
                <c:pt idx="3">
                  <c:v>262741616.69450003</c:v>
                </c:pt>
                <c:pt idx="4">
                  <c:v>24765631.199999999</c:v>
                </c:pt>
                <c:pt idx="5">
                  <c:v>3168204</c:v>
                </c:pt>
                <c:pt idx="6">
                  <c:v>5137337</c:v>
                </c:pt>
                <c:pt idx="7">
                  <c:v>2836850</c:v>
                </c:pt>
                <c:pt idx="8">
                  <c:v>2622019</c:v>
                </c:pt>
                <c:pt idx="9">
                  <c:v>2959466</c:v>
                </c:pt>
                <c:pt idx="10">
                  <c:v>5001239</c:v>
                </c:pt>
                <c:pt idx="11">
                  <c:v>15301360</c:v>
                </c:pt>
                <c:pt idx="12">
                  <c:v>7781529</c:v>
                </c:pt>
                <c:pt idx="13">
                  <c:v>4821031</c:v>
                </c:pt>
                <c:pt idx="14">
                  <c:v>334402</c:v>
                </c:pt>
                <c:pt idx="15">
                  <c:v>1170652</c:v>
                </c:pt>
                <c:pt idx="16">
                  <c:v>7178248</c:v>
                </c:pt>
                <c:pt idx="17">
                  <c:v>6155693</c:v>
                </c:pt>
                <c:pt idx="18">
                  <c:v>7170962</c:v>
                </c:pt>
                <c:pt idx="19">
                  <c:v>4672828</c:v>
                </c:pt>
                <c:pt idx="20">
                  <c:v>12552318</c:v>
                </c:pt>
                <c:pt idx="21">
                  <c:v>6398053</c:v>
                </c:pt>
                <c:pt idx="22">
                  <c:v>10525129</c:v>
                </c:pt>
                <c:pt idx="23">
                  <c:v>3788206</c:v>
                </c:pt>
                <c:pt idx="24">
                  <c:v>6036216</c:v>
                </c:pt>
                <c:pt idx="25">
                  <c:v>8697588</c:v>
                </c:pt>
                <c:pt idx="26">
                  <c:v>6550077</c:v>
                </c:pt>
                <c:pt idx="27">
                  <c:v>2658631</c:v>
                </c:pt>
                <c:pt idx="28">
                  <c:v>1906766</c:v>
                </c:pt>
                <c:pt idx="29">
                  <c:v>6089206</c:v>
                </c:pt>
                <c:pt idx="30">
                  <c:v>3958325</c:v>
                </c:pt>
                <c:pt idx="31">
                  <c:v>6906731</c:v>
                </c:pt>
                <c:pt idx="32">
                  <c:v>7328974</c:v>
                </c:pt>
                <c:pt idx="33">
                  <c:v>7743407</c:v>
                </c:pt>
                <c:pt idx="34">
                  <c:v>7234392</c:v>
                </c:pt>
                <c:pt idx="35">
                  <c:v>1626881</c:v>
                </c:pt>
                <c:pt idx="36">
                  <c:v>3294887.09</c:v>
                </c:pt>
                <c:pt idx="37">
                  <c:v>7555368</c:v>
                </c:pt>
                <c:pt idx="38">
                  <c:v>4596604</c:v>
                </c:pt>
                <c:pt idx="39">
                  <c:v>1624201</c:v>
                </c:pt>
                <c:pt idx="40">
                  <c:v>2547274</c:v>
                </c:pt>
                <c:pt idx="41">
                  <c:v>3787450</c:v>
                </c:pt>
                <c:pt idx="42">
                  <c:v>16368469</c:v>
                </c:pt>
                <c:pt idx="43">
                  <c:v>521535</c:v>
                </c:pt>
                <c:pt idx="44">
                  <c:v>5533370</c:v>
                </c:pt>
                <c:pt idx="45">
                  <c:v>2931676</c:v>
                </c:pt>
                <c:pt idx="46">
                  <c:v>7165100</c:v>
                </c:pt>
                <c:pt idx="47">
                  <c:v>5012370</c:v>
                </c:pt>
                <c:pt idx="48">
                  <c:v>20167728</c:v>
                </c:pt>
                <c:pt idx="49">
                  <c:v>3503889</c:v>
                </c:pt>
                <c:pt idx="50">
                  <c:v>1525862</c:v>
                </c:pt>
                <c:pt idx="51">
                  <c:v>5377312</c:v>
                </c:pt>
                <c:pt idx="52">
                  <c:v>6698993</c:v>
                </c:pt>
                <c:pt idx="53">
                  <c:v>5303157</c:v>
                </c:pt>
                <c:pt idx="54">
                  <c:v>1777161</c:v>
                </c:pt>
                <c:pt idx="55">
                  <c:v>2559523</c:v>
                </c:pt>
                <c:pt idx="56">
                  <c:v>3053269</c:v>
                </c:pt>
                <c:pt idx="57">
                  <c:v>2572675</c:v>
                </c:pt>
                <c:pt idx="58">
                  <c:v>3308218</c:v>
                </c:pt>
                <c:pt idx="59">
                  <c:v>8825549</c:v>
                </c:pt>
                <c:pt idx="60">
                  <c:v>15425517</c:v>
                </c:pt>
                <c:pt idx="61">
                  <c:v>12598356</c:v>
                </c:pt>
                <c:pt idx="62">
                  <c:v>5313934</c:v>
                </c:pt>
                <c:pt idx="63">
                  <c:v>2182111</c:v>
                </c:pt>
                <c:pt idx="64">
                  <c:v>7061434</c:v>
                </c:pt>
                <c:pt idx="65">
                  <c:v>15589927</c:v>
                </c:pt>
                <c:pt idx="66">
                  <c:v>3412616</c:v>
                </c:pt>
                <c:pt idx="67">
                  <c:v>768291</c:v>
                </c:pt>
                <c:pt idx="68">
                  <c:v>9525501</c:v>
                </c:pt>
                <c:pt idx="69">
                  <c:v>5368666</c:v>
                </c:pt>
                <c:pt idx="70">
                  <c:v>2632637</c:v>
                </c:pt>
                <c:pt idx="71">
                  <c:v>1248826</c:v>
                </c:pt>
                <c:pt idx="72">
                  <c:v>3221819</c:v>
                </c:pt>
                <c:pt idx="73">
                  <c:v>56105987</c:v>
                </c:pt>
                <c:pt idx="74">
                  <c:v>187979</c:v>
                </c:pt>
                <c:pt idx="75">
                  <c:v>23198974</c:v>
                </c:pt>
                <c:pt idx="76">
                  <c:v>4924156</c:v>
                </c:pt>
                <c:pt idx="77">
                  <c:v>113289</c:v>
                </c:pt>
              </c:numCache>
            </c:numRef>
          </c:val>
        </c:ser>
        <c:ser>
          <c:idx val="6"/>
          <c:order val="6"/>
          <c:tx>
            <c:strRef>
              <c:f>Inputs!$P$3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Inputs!$P$4:$P$81</c:f>
              <c:numCache>
                <c:formatCode>General</c:formatCode>
                <c:ptCount val="78"/>
                <c:pt idx="0">
                  <c:v>21993921</c:v>
                </c:pt>
                <c:pt idx="1">
                  <c:v>10632441</c:v>
                </c:pt>
                <c:pt idx="2">
                  <c:v>34130303</c:v>
                </c:pt>
                <c:pt idx="3">
                  <c:v>719003274</c:v>
                </c:pt>
                <c:pt idx="4">
                  <c:v>36018581</c:v>
                </c:pt>
                <c:pt idx="5">
                  <c:v>4442235</c:v>
                </c:pt>
                <c:pt idx="6">
                  <c:v>10484125</c:v>
                </c:pt>
                <c:pt idx="7">
                  <c:v>4698149</c:v>
                </c:pt>
                <c:pt idx="8">
                  <c:v>4820740</c:v>
                </c:pt>
                <c:pt idx="9">
                  <c:v>4808173</c:v>
                </c:pt>
                <c:pt idx="10">
                  <c:v>10528255</c:v>
                </c:pt>
                <c:pt idx="11">
                  <c:v>27364138</c:v>
                </c:pt>
                <c:pt idx="12">
                  <c:v>12498694</c:v>
                </c:pt>
                <c:pt idx="13">
                  <c:v>7200500</c:v>
                </c:pt>
                <c:pt idx="14">
                  <c:v>460137</c:v>
                </c:pt>
                <c:pt idx="15">
                  <c:v>2236911</c:v>
                </c:pt>
                <c:pt idx="16">
                  <c:v>15960753</c:v>
                </c:pt>
                <c:pt idx="17">
                  <c:v>15074410</c:v>
                </c:pt>
                <c:pt idx="18">
                  <c:v>13405687</c:v>
                </c:pt>
                <c:pt idx="19">
                  <c:v>9308508</c:v>
                </c:pt>
                <c:pt idx="20">
                  <c:v>19495218</c:v>
                </c:pt>
                <c:pt idx="21">
                  <c:v>7218124</c:v>
                </c:pt>
                <c:pt idx="22">
                  <c:v>16962625</c:v>
                </c:pt>
                <c:pt idx="23">
                  <c:v>6151700</c:v>
                </c:pt>
                <c:pt idx="24">
                  <c:v>7422527</c:v>
                </c:pt>
                <c:pt idx="25">
                  <c:v>14155203</c:v>
                </c:pt>
                <c:pt idx="26">
                  <c:v>12166369</c:v>
                </c:pt>
                <c:pt idx="27">
                  <c:v>4148885</c:v>
                </c:pt>
                <c:pt idx="28">
                  <c:v>4309649</c:v>
                </c:pt>
                <c:pt idx="29">
                  <c:v>9653765</c:v>
                </c:pt>
                <c:pt idx="30">
                  <c:v>7295138</c:v>
                </c:pt>
                <c:pt idx="31">
                  <c:v>10758674</c:v>
                </c:pt>
                <c:pt idx="32">
                  <c:v>10013161</c:v>
                </c:pt>
                <c:pt idx="33">
                  <c:v>10362709</c:v>
                </c:pt>
                <c:pt idx="34">
                  <c:v>10300759</c:v>
                </c:pt>
                <c:pt idx="35">
                  <c:v>2725942</c:v>
                </c:pt>
                <c:pt idx="36">
                  <c:v>5122661</c:v>
                </c:pt>
                <c:pt idx="37">
                  <c:v>12782093</c:v>
                </c:pt>
                <c:pt idx="38">
                  <c:v>6394030</c:v>
                </c:pt>
                <c:pt idx="39">
                  <c:v>4698305</c:v>
                </c:pt>
                <c:pt idx="40">
                  <c:v>4434678</c:v>
                </c:pt>
                <c:pt idx="41">
                  <c:v>4039716</c:v>
                </c:pt>
                <c:pt idx="42">
                  <c:v>30972041</c:v>
                </c:pt>
                <c:pt idx="43">
                  <c:v>642815</c:v>
                </c:pt>
                <c:pt idx="44">
                  <c:v>10275287</c:v>
                </c:pt>
                <c:pt idx="45">
                  <c:v>7022784</c:v>
                </c:pt>
                <c:pt idx="46">
                  <c:v>12161315</c:v>
                </c:pt>
                <c:pt idx="47">
                  <c:v>9732660</c:v>
                </c:pt>
                <c:pt idx="48">
                  <c:v>52645812</c:v>
                </c:pt>
                <c:pt idx="49">
                  <c:v>5968116</c:v>
                </c:pt>
                <c:pt idx="50">
                  <c:v>2600676</c:v>
                </c:pt>
                <c:pt idx="51">
                  <c:v>9195289</c:v>
                </c:pt>
                <c:pt idx="52">
                  <c:v>11507847</c:v>
                </c:pt>
                <c:pt idx="53">
                  <c:v>8176824</c:v>
                </c:pt>
                <c:pt idx="54">
                  <c:v>2641184</c:v>
                </c:pt>
                <c:pt idx="55">
                  <c:v>4025352</c:v>
                </c:pt>
                <c:pt idx="56">
                  <c:v>4789310</c:v>
                </c:pt>
                <c:pt idx="57">
                  <c:v>2800280</c:v>
                </c:pt>
                <c:pt idx="58">
                  <c:v>6055893</c:v>
                </c:pt>
                <c:pt idx="59">
                  <c:v>12380538</c:v>
                </c:pt>
                <c:pt idx="60">
                  <c:v>20847919</c:v>
                </c:pt>
                <c:pt idx="61">
                  <c:v>18962624</c:v>
                </c:pt>
                <c:pt idx="62">
                  <c:v>7498519</c:v>
                </c:pt>
                <c:pt idx="63">
                  <c:v>2995274</c:v>
                </c:pt>
                <c:pt idx="64">
                  <c:v>11302932</c:v>
                </c:pt>
                <c:pt idx="65">
                  <c:v>21213111</c:v>
                </c:pt>
                <c:pt idx="66">
                  <c:v>3241186</c:v>
                </c:pt>
                <c:pt idx="67">
                  <c:v>1231024</c:v>
                </c:pt>
                <c:pt idx="68">
                  <c:v>17237915</c:v>
                </c:pt>
                <c:pt idx="69">
                  <c:v>9946656</c:v>
                </c:pt>
                <c:pt idx="70">
                  <c:v>4441178</c:v>
                </c:pt>
                <c:pt idx="71">
                  <c:v>2326760</c:v>
                </c:pt>
                <c:pt idx="72">
                  <c:v>5105489</c:v>
                </c:pt>
                <c:pt idx="73">
                  <c:v>96800482</c:v>
                </c:pt>
                <c:pt idx="74">
                  <c:v>88000</c:v>
                </c:pt>
                <c:pt idx="75">
                  <c:v>40608341</c:v>
                </c:pt>
                <c:pt idx="76">
                  <c:v>8280779</c:v>
                </c:pt>
                <c:pt idx="77">
                  <c:v>145906</c:v>
                </c:pt>
              </c:numCache>
            </c:numRef>
          </c:val>
        </c:ser>
        <c:ser>
          <c:idx val="7"/>
          <c:order val="7"/>
          <c:tx>
            <c:strRef>
              <c:f>Inputs!$Q$3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Inputs!$Q$4:$Q$81</c:f>
              <c:numCache>
                <c:formatCode>General</c:formatCode>
                <c:ptCount val="78"/>
                <c:pt idx="0">
                  <c:v>12317569</c:v>
                </c:pt>
                <c:pt idx="1">
                  <c:v>6318607</c:v>
                </c:pt>
                <c:pt idx="2">
                  <c:v>17335558</c:v>
                </c:pt>
                <c:pt idx="3">
                  <c:v>371055142</c:v>
                </c:pt>
                <c:pt idx="4">
                  <c:v>18614806.25</c:v>
                </c:pt>
                <c:pt idx="5">
                  <c:v>2373282</c:v>
                </c:pt>
                <c:pt idx="6">
                  <c:v>5105590</c:v>
                </c:pt>
                <c:pt idx="7">
                  <c:v>2479991</c:v>
                </c:pt>
                <c:pt idx="8">
                  <c:v>2457831</c:v>
                </c:pt>
                <c:pt idx="9">
                  <c:v>2129545</c:v>
                </c:pt>
                <c:pt idx="10">
                  <c:v>4663126</c:v>
                </c:pt>
                <c:pt idx="11">
                  <c:v>14855906</c:v>
                </c:pt>
                <c:pt idx="12">
                  <c:v>6208158</c:v>
                </c:pt>
                <c:pt idx="13">
                  <c:v>4272352</c:v>
                </c:pt>
                <c:pt idx="14">
                  <c:v>306370</c:v>
                </c:pt>
                <c:pt idx="15">
                  <c:v>1127430</c:v>
                </c:pt>
                <c:pt idx="16">
                  <c:v>8073316</c:v>
                </c:pt>
                <c:pt idx="17">
                  <c:v>6856299</c:v>
                </c:pt>
                <c:pt idx="18">
                  <c:v>6304407</c:v>
                </c:pt>
                <c:pt idx="19">
                  <c:v>5124234</c:v>
                </c:pt>
                <c:pt idx="20">
                  <c:v>11416524</c:v>
                </c:pt>
                <c:pt idx="21">
                  <c:v>4211218</c:v>
                </c:pt>
                <c:pt idx="22">
                  <c:v>8919386</c:v>
                </c:pt>
                <c:pt idx="23">
                  <c:v>2996001</c:v>
                </c:pt>
                <c:pt idx="24">
                  <c:v>5007986</c:v>
                </c:pt>
                <c:pt idx="25">
                  <c:v>7427925</c:v>
                </c:pt>
                <c:pt idx="26">
                  <c:v>6293251</c:v>
                </c:pt>
                <c:pt idx="27">
                  <c:v>2248934</c:v>
                </c:pt>
                <c:pt idx="28">
                  <c:v>2067733</c:v>
                </c:pt>
                <c:pt idx="29">
                  <c:v>5175289</c:v>
                </c:pt>
                <c:pt idx="30">
                  <c:v>3536227</c:v>
                </c:pt>
                <c:pt idx="31">
                  <c:v>6307752</c:v>
                </c:pt>
                <c:pt idx="32">
                  <c:v>6445038</c:v>
                </c:pt>
                <c:pt idx="33">
                  <c:v>6175436</c:v>
                </c:pt>
                <c:pt idx="34">
                  <c:v>6525466</c:v>
                </c:pt>
                <c:pt idx="35">
                  <c:v>1478020</c:v>
                </c:pt>
                <c:pt idx="36">
                  <c:v>2277481</c:v>
                </c:pt>
                <c:pt idx="37">
                  <c:v>6262482</c:v>
                </c:pt>
                <c:pt idx="38">
                  <c:v>3508856</c:v>
                </c:pt>
                <c:pt idx="39">
                  <c:v>2243465</c:v>
                </c:pt>
                <c:pt idx="40">
                  <c:v>2840046</c:v>
                </c:pt>
                <c:pt idx="41">
                  <c:v>1919541</c:v>
                </c:pt>
                <c:pt idx="42">
                  <c:v>14180011</c:v>
                </c:pt>
                <c:pt idx="43">
                  <c:v>302605</c:v>
                </c:pt>
                <c:pt idx="44">
                  <c:v>4899654</c:v>
                </c:pt>
                <c:pt idx="45">
                  <c:v>3279294</c:v>
                </c:pt>
                <c:pt idx="46">
                  <c:v>6114234</c:v>
                </c:pt>
                <c:pt idx="47">
                  <c:v>4539256</c:v>
                </c:pt>
                <c:pt idx="48">
                  <c:v>24819500</c:v>
                </c:pt>
                <c:pt idx="49">
                  <c:v>3034222</c:v>
                </c:pt>
                <c:pt idx="50">
                  <c:v>1395859</c:v>
                </c:pt>
                <c:pt idx="51">
                  <c:v>4430851</c:v>
                </c:pt>
                <c:pt idx="52">
                  <c:v>6327461</c:v>
                </c:pt>
                <c:pt idx="53">
                  <c:v>4145969</c:v>
                </c:pt>
                <c:pt idx="54">
                  <c:v>1354334</c:v>
                </c:pt>
                <c:pt idx="55">
                  <c:v>2616205</c:v>
                </c:pt>
                <c:pt idx="56">
                  <c:v>2984774</c:v>
                </c:pt>
                <c:pt idx="57">
                  <c:v>1811186</c:v>
                </c:pt>
                <c:pt idx="58">
                  <c:v>3063582</c:v>
                </c:pt>
                <c:pt idx="59">
                  <c:v>7434862</c:v>
                </c:pt>
                <c:pt idx="60">
                  <c:v>11853214</c:v>
                </c:pt>
                <c:pt idx="61">
                  <c:v>10196253</c:v>
                </c:pt>
                <c:pt idx="62">
                  <c:v>4287217</c:v>
                </c:pt>
                <c:pt idx="63">
                  <c:v>1662354</c:v>
                </c:pt>
                <c:pt idx="64">
                  <c:v>6741652</c:v>
                </c:pt>
                <c:pt idx="65">
                  <c:v>11423893</c:v>
                </c:pt>
                <c:pt idx="66">
                  <c:v>2858001</c:v>
                </c:pt>
                <c:pt idx="67">
                  <c:v>638921</c:v>
                </c:pt>
                <c:pt idx="68">
                  <c:v>8886384</c:v>
                </c:pt>
                <c:pt idx="69">
                  <c:v>5132197</c:v>
                </c:pt>
                <c:pt idx="70">
                  <c:v>2445577</c:v>
                </c:pt>
                <c:pt idx="71">
                  <c:v>1228223</c:v>
                </c:pt>
                <c:pt idx="72">
                  <c:v>2875850</c:v>
                </c:pt>
                <c:pt idx="73">
                  <c:v>53449721</c:v>
                </c:pt>
                <c:pt idx="74">
                  <c:v>49138</c:v>
                </c:pt>
                <c:pt idx="75">
                  <c:v>21906385</c:v>
                </c:pt>
                <c:pt idx="76">
                  <c:v>4437314</c:v>
                </c:pt>
                <c:pt idx="77">
                  <c:v>94270</c:v>
                </c:pt>
              </c:numCache>
            </c:numRef>
          </c:val>
        </c:ser>
        <c:ser>
          <c:idx val="8"/>
          <c:order val="8"/>
          <c:tx>
            <c:strRef>
              <c:f>Inputs!$R$3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Inputs!$R$4:$R$81</c:f>
              <c:numCache>
                <c:formatCode>General</c:formatCode>
                <c:ptCount val="78"/>
                <c:pt idx="0">
                  <c:v>25318137.870000001</c:v>
                </c:pt>
                <c:pt idx="1">
                  <c:v>11376910.230000002</c:v>
                </c:pt>
                <c:pt idx="2">
                  <c:v>35876589.949999996</c:v>
                </c:pt>
                <c:pt idx="3">
                  <c:v>727529377.0999999</c:v>
                </c:pt>
                <c:pt idx="4">
                  <c:v>36972708.639999993</c:v>
                </c:pt>
                <c:pt idx="5">
                  <c:v>6174715.0199999986</c:v>
                </c:pt>
                <c:pt idx="6">
                  <c:v>10722874.92</c:v>
                </c:pt>
                <c:pt idx="7">
                  <c:v>4780407.330000001</c:v>
                </c:pt>
                <c:pt idx="8">
                  <c:v>5080998.01</c:v>
                </c:pt>
                <c:pt idx="9">
                  <c:v>4957542.97</c:v>
                </c:pt>
                <c:pt idx="10">
                  <c:v>11313970.49</c:v>
                </c:pt>
                <c:pt idx="11">
                  <c:v>29354203.530000001</c:v>
                </c:pt>
                <c:pt idx="12">
                  <c:v>13075450.370000001</c:v>
                </c:pt>
                <c:pt idx="13">
                  <c:v>8431947.459999999</c:v>
                </c:pt>
                <c:pt idx="14">
                  <c:v>470487.46999999991</c:v>
                </c:pt>
                <c:pt idx="15">
                  <c:v>2399724.5099999998</c:v>
                </c:pt>
                <c:pt idx="16">
                  <c:v>17081947.809999999</c:v>
                </c:pt>
                <c:pt idx="17">
                  <c:v>15377142.029999997</c:v>
                </c:pt>
                <c:pt idx="18">
                  <c:v>14198216.84</c:v>
                </c:pt>
                <c:pt idx="19">
                  <c:v>8571013.2400000002</c:v>
                </c:pt>
                <c:pt idx="20">
                  <c:v>23939820.550000001</c:v>
                </c:pt>
                <c:pt idx="21">
                  <c:v>10485130.569999998</c:v>
                </c:pt>
                <c:pt idx="22">
                  <c:v>18058512.260000005</c:v>
                </c:pt>
                <c:pt idx="23">
                  <c:v>6262816.0099999998</c:v>
                </c:pt>
                <c:pt idx="24">
                  <c:v>13009144.279999999</c:v>
                </c:pt>
                <c:pt idx="25">
                  <c:v>15349609.060000001</c:v>
                </c:pt>
                <c:pt idx="26">
                  <c:v>12660004.789999999</c:v>
                </c:pt>
                <c:pt idx="27">
                  <c:v>4261296.92</c:v>
                </c:pt>
                <c:pt idx="28">
                  <c:v>4365514.34</c:v>
                </c:pt>
                <c:pt idx="29">
                  <c:v>9855640.6399999987</c:v>
                </c:pt>
                <c:pt idx="30">
                  <c:v>7352447.7399999993</c:v>
                </c:pt>
                <c:pt idx="31">
                  <c:v>10965218.24</c:v>
                </c:pt>
                <c:pt idx="32">
                  <c:v>11598866.139999999</c:v>
                </c:pt>
                <c:pt idx="33">
                  <c:v>13134459.850000001</c:v>
                </c:pt>
                <c:pt idx="34">
                  <c:v>10830067.459999999</c:v>
                </c:pt>
                <c:pt idx="35">
                  <c:v>3181825.28</c:v>
                </c:pt>
                <c:pt idx="36">
                  <c:v>5308108.0600000005</c:v>
                </c:pt>
                <c:pt idx="37">
                  <c:v>13068603.969999999</c:v>
                </c:pt>
                <c:pt idx="38">
                  <c:v>7410900.2400000012</c:v>
                </c:pt>
                <c:pt idx="39">
                  <c:v>5364591.4799999995</c:v>
                </c:pt>
                <c:pt idx="40">
                  <c:v>3216852.8600000008</c:v>
                </c:pt>
                <c:pt idx="41">
                  <c:v>4124542.1499999994</c:v>
                </c:pt>
                <c:pt idx="42">
                  <c:v>33226544.670000002</c:v>
                </c:pt>
                <c:pt idx="43">
                  <c:v>819792.92</c:v>
                </c:pt>
                <c:pt idx="44">
                  <c:v>12673297.120000001</c:v>
                </c:pt>
                <c:pt idx="45">
                  <c:v>8631577.7400000021</c:v>
                </c:pt>
                <c:pt idx="46">
                  <c:v>15115546.439999999</c:v>
                </c:pt>
                <c:pt idx="47">
                  <c:v>9943095.5299999975</c:v>
                </c:pt>
                <c:pt idx="48">
                  <c:v>158370046.23999998</c:v>
                </c:pt>
                <c:pt idx="49">
                  <c:v>6378045.8900000006</c:v>
                </c:pt>
                <c:pt idx="50">
                  <c:v>3867776.92</c:v>
                </c:pt>
                <c:pt idx="51">
                  <c:v>9563936.5600000005</c:v>
                </c:pt>
                <c:pt idx="52">
                  <c:v>12894797.699999997</c:v>
                </c:pt>
                <c:pt idx="53">
                  <c:v>10506261.99</c:v>
                </c:pt>
                <c:pt idx="54">
                  <c:v>3046315.6199999996</c:v>
                </c:pt>
                <c:pt idx="55">
                  <c:v>3998647.06</c:v>
                </c:pt>
                <c:pt idx="56">
                  <c:v>5125988.3399999989</c:v>
                </c:pt>
                <c:pt idx="57">
                  <c:v>2451120.1999999997</c:v>
                </c:pt>
                <c:pt idx="58">
                  <c:v>6192156.9900000002</c:v>
                </c:pt>
                <c:pt idx="59">
                  <c:v>12640877.089999996</c:v>
                </c:pt>
                <c:pt idx="60">
                  <c:v>22565928.190000001</c:v>
                </c:pt>
                <c:pt idx="61">
                  <c:v>18185976.710000001</c:v>
                </c:pt>
                <c:pt idx="62">
                  <c:v>8478028.5</c:v>
                </c:pt>
                <c:pt idx="63">
                  <c:v>3050887.2800000003</c:v>
                </c:pt>
                <c:pt idx="64">
                  <c:v>11413959.790000001</c:v>
                </c:pt>
                <c:pt idx="65">
                  <c:v>21756852.710000001</c:v>
                </c:pt>
                <c:pt idx="66">
                  <c:v>3314104.14</c:v>
                </c:pt>
                <c:pt idx="67">
                  <c:v>1209861.1700000002</c:v>
                </c:pt>
                <c:pt idx="68">
                  <c:v>17173872.260000002</c:v>
                </c:pt>
                <c:pt idx="69">
                  <c:v>9848198.2400000002</c:v>
                </c:pt>
                <c:pt idx="70">
                  <c:v>4285491.12</c:v>
                </c:pt>
                <c:pt idx="71">
                  <c:v>2319181.44</c:v>
                </c:pt>
                <c:pt idx="72">
                  <c:v>4911953.9600000009</c:v>
                </c:pt>
                <c:pt idx="73">
                  <c:v>96524797.599999994</c:v>
                </c:pt>
                <c:pt idx="74">
                  <c:v>88179.57</c:v>
                </c:pt>
                <c:pt idx="75">
                  <c:v>40484759.490000002</c:v>
                </c:pt>
                <c:pt idx="76">
                  <c:v>8052196.0199999996</c:v>
                </c:pt>
                <c:pt idx="77">
                  <c:v>145030.76999999999</c:v>
                </c:pt>
              </c:numCache>
            </c:numRef>
          </c:val>
        </c:ser>
        <c:ser>
          <c:idx val="9"/>
          <c:order val="9"/>
          <c:tx>
            <c:strRef>
              <c:f>Inputs!$S$3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Inputs!$S$4:$S$81</c:f>
              <c:numCache>
                <c:formatCode>General</c:formatCode>
                <c:ptCount val="78"/>
                <c:pt idx="0">
                  <c:v>14320618</c:v>
                </c:pt>
                <c:pt idx="1">
                  <c:v>6782992</c:v>
                </c:pt>
                <c:pt idx="2">
                  <c:v>18219392</c:v>
                </c:pt>
                <c:pt idx="3">
                  <c:v>373559274</c:v>
                </c:pt>
                <c:pt idx="4">
                  <c:v>13478360</c:v>
                </c:pt>
                <c:pt idx="5">
                  <c:v>3569452</c:v>
                </c:pt>
                <c:pt idx="6">
                  <c:v>5204171</c:v>
                </c:pt>
                <c:pt idx="7">
                  <c:v>2512331</c:v>
                </c:pt>
                <c:pt idx="8">
                  <c:v>2572889</c:v>
                </c:pt>
                <c:pt idx="9">
                  <c:v>2191588</c:v>
                </c:pt>
                <c:pt idx="10">
                  <c:v>5004043</c:v>
                </c:pt>
                <c:pt idx="11">
                  <c:v>15892967</c:v>
                </c:pt>
                <c:pt idx="12">
                  <c:v>6486454</c:v>
                </c:pt>
                <c:pt idx="13">
                  <c:v>5043952</c:v>
                </c:pt>
                <c:pt idx="14">
                  <c:v>313262</c:v>
                </c:pt>
                <c:pt idx="15">
                  <c:v>1210160</c:v>
                </c:pt>
                <c:pt idx="16">
                  <c:v>8620763</c:v>
                </c:pt>
                <c:pt idx="17">
                  <c:v>6974119</c:v>
                </c:pt>
                <c:pt idx="18">
                  <c:v>6661083</c:v>
                </c:pt>
                <c:pt idx="19">
                  <c:v>4126436</c:v>
                </c:pt>
                <c:pt idx="20">
                  <c:v>14515432</c:v>
                </c:pt>
                <c:pt idx="21">
                  <c:v>6850414</c:v>
                </c:pt>
                <c:pt idx="22">
                  <c:v>9458526</c:v>
                </c:pt>
                <c:pt idx="23">
                  <c:v>3036111</c:v>
                </c:pt>
                <c:pt idx="24">
                  <c:v>10128636</c:v>
                </c:pt>
                <c:pt idx="25">
                  <c:v>7994832</c:v>
                </c:pt>
                <c:pt idx="26">
                  <c:v>6542754</c:v>
                </c:pt>
                <c:pt idx="27">
                  <c:v>2241738</c:v>
                </c:pt>
                <c:pt idx="28">
                  <c:v>2073147</c:v>
                </c:pt>
                <c:pt idx="29">
                  <c:v>5276397</c:v>
                </c:pt>
                <c:pt idx="30">
                  <c:v>3508965</c:v>
                </c:pt>
                <c:pt idx="31">
                  <c:v>6414151</c:v>
                </c:pt>
                <c:pt idx="32">
                  <c:v>7527769</c:v>
                </c:pt>
                <c:pt idx="33">
                  <c:v>8339304</c:v>
                </c:pt>
                <c:pt idx="34">
                  <c:v>6837063</c:v>
                </c:pt>
                <c:pt idx="35">
                  <c:v>1735978</c:v>
                </c:pt>
                <c:pt idx="36">
                  <c:v>2376761</c:v>
                </c:pt>
                <c:pt idx="37">
                  <c:v>6402303</c:v>
                </c:pt>
                <c:pt idx="38">
                  <c:v>4084611</c:v>
                </c:pt>
                <c:pt idx="39">
                  <c:v>2539406</c:v>
                </c:pt>
                <c:pt idx="40">
                  <c:v>1586344</c:v>
                </c:pt>
                <c:pt idx="41">
                  <c:v>1956651</c:v>
                </c:pt>
                <c:pt idx="42">
                  <c:v>15178393</c:v>
                </c:pt>
                <c:pt idx="43">
                  <c:v>398534</c:v>
                </c:pt>
                <c:pt idx="44">
                  <c:v>6038906</c:v>
                </c:pt>
                <c:pt idx="45">
                  <c:v>3969248</c:v>
                </c:pt>
                <c:pt idx="46">
                  <c:v>7674382</c:v>
                </c:pt>
                <c:pt idx="47">
                  <c:v>4632838</c:v>
                </c:pt>
                <c:pt idx="48">
                  <c:v>112131751</c:v>
                </c:pt>
                <c:pt idx="49">
                  <c:v>3205036</c:v>
                </c:pt>
                <c:pt idx="50">
                  <c:v>2442479</c:v>
                </c:pt>
                <c:pt idx="51">
                  <c:v>4585957</c:v>
                </c:pt>
                <c:pt idx="52">
                  <c:v>7061019</c:v>
                </c:pt>
                <c:pt idx="53">
                  <c:v>5446938</c:v>
                </c:pt>
                <c:pt idx="54">
                  <c:v>1581566</c:v>
                </c:pt>
                <c:pt idx="55">
                  <c:v>2408575</c:v>
                </c:pt>
                <c:pt idx="56">
                  <c:v>3171477</c:v>
                </c:pt>
                <c:pt idx="57">
                  <c:v>1439877</c:v>
                </c:pt>
                <c:pt idx="58">
                  <c:v>3132511</c:v>
                </c:pt>
                <c:pt idx="59">
                  <c:v>7583926</c:v>
                </c:pt>
                <c:pt idx="60">
                  <c:v>12798446</c:v>
                </c:pt>
                <c:pt idx="61">
                  <c:v>9058940</c:v>
                </c:pt>
                <c:pt idx="62">
                  <c:v>4928279</c:v>
                </c:pt>
                <c:pt idx="63">
                  <c:v>1687972</c:v>
                </c:pt>
                <c:pt idx="64">
                  <c:v>6773138</c:v>
                </c:pt>
                <c:pt idx="65">
                  <c:v>11649928</c:v>
                </c:pt>
                <c:pt idx="66">
                  <c:v>2922299</c:v>
                </c:pt>
                <c:pt idx="67">
                  <c:v>618387</c:v>
                </c:pt>
                <c:pt idx="68">
                  <c:v>8834384</c:v>
                </c:pt>
                <c:pt idx="69">
                  <c:v>5033625</c:v>
                </c:pt>
                <c:pt idx="70">
                  <c:v>2290050</c:v>
                </c:pt>
                <c:pt idx="71">
                  <c:v>1221148</c:v>
                </c:pt>
                <c:pt idx="72">
                  <c:v>2681455</c:v>
                </c:pt>
                <c:pt idx="73">
                  <c:v>53185742</c:v>
                </c:pt>
                <c:pt idx="74">
                  <c:v>49138</c:v>
                </c:pt>
                <c:pt idx="75">
                  <c:v>21515761</c:v>
                </c:pt>
                <c:pt idx="76">
                  <c:v>4207680</c:v>
                </c:pt>
                <c:pt idx="77">
                  <c:v>94270</c:v>
                </c:pt>
              </c:numCache>
            </c:numRef>
          </c:val>
        </c:ser>
        <c:ser>
          <c:idx val="10"/>
          <c:order val="10"/>
          <c:tx>
            <c:strRef>
              <c:f>Inputs!$T$3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Inputs!$T$4:$T$81</c:f>
              <c:numCache>
                <c:formatCode>General</c:formatCode>
                <c:ptCount val="78"/>
                <c:pt idx="0">
                  <c:v>26841175.98</c:v>
                </c:pt>
                <c:pt idx="1">
                  <c:v>10547081.879999999</c:v>
                </c:pt>
                <c:pt idx="2">
                  <c:v>20816266.369999994</c:v>
                </c:pt>
                <c:pt idx="3">
                  <c:v>665059686.85999978</c:v>
                </c:pt>
                <c:pt idx="4">
                  <c:v>26404591.510000005</c:v>
                </c:pt>
                <c:pt idx="5">
                  <c:v>4844796.3699999982</c:v>
                </c:pt>
                <c:pt idx="6">
                  <c:v>10650591.610000001</c:v>
                </c:pt>
                <c:pt idx="7">
                  <c:v>6257563.7199999997</c:v>
                </c:pt>
                <c:pt idx="8">
                  <c:v>5006691.67</c:v>
                </c:pt>
                <c:pt idx="9">
                  <c:v>4734151.6800000006</c:v>
                </c:pt>
                <c:pt idx="10">
                  <c:v>10633172.52</c:v>
                </c:pt>
                <c:pt idx="11">
                  <c:v>26644033.119999997</c:v>
                </c:pt>
                <c:pt idx="12">
                  <c:v>15298234.830000002</c:v>
                </c:pt>
                <c:pt idx="13">
                  <c:v>10710180.950000001</c:v>
                </c:pt>
                <c:pt idx="14">
                  <c:v>524210.35000000009</c:v>
                </c:pt>
                <c:pt idx="15">
                  <c:v>2327393</c:v>
                </c:pt>
                <c:pt idx="16">
                  <c:v>12055921.439999999</c:v>
                </c:pt>
                <c:pt idx="17">
                  <c:v>17294308.02</c:v>
                </c:pt>
                <c:pt idx="18">
                  <c:v>15468364.09</c:v>
                </c:pt>
                <c:pt idx="19">
                  <c:v>9810097.75</c:v>
                </c:pt>
                <c:pt idx="20">
                  <c:v>24118429.130000003</c:v>
                </c:pt>
                <c:pt idx="21">
                  <c:v>12303425.24</c:v>
                </c:pt>
                <c:pt idx="22">
                  <c:v>19758881.419999994</c:v>
                </c:pt>
                <c:pt idx="23">
                  <c:v>6608491.3899999997</c:v>
                </c:pt>
                <c:pt idx="24">
                  <c:v>10646502.799999999</c:v>
                </c:pt>
                <c:pt idx="25">
                  <c:v>16717509.26</c:v>
                </c:pt>
                <c:pt idx="26">
                  <c:v>13056251.810000001</c:v>
                </c:pt>
                <c:pt idx="27">
                  <c:v>4989045.08</c:v>
                </c:pt>
                <c:pt idx="28">
                  <c:v>4333592.29</c:v>
                </c:pt>
                <c:pt idx="29">
                  <c:v>10159535.68</c:v>
                </c:pt>
                <c:pt idx="30">
                  <c:v>7855878.4100000001</c:v>
                </c:pt>
                <c:pt idx="31">
                  <c:v>12570524.73</c:v>
                </c:pt>
                <c:pt idx="32">
                  <c:v>13010475.84</c:v>
                </c:pt>
                <c:pt idx="33">
                  <c:v>13030495.189999999</c:v>
                </c:pt>
                <c:pt idx="34">
                  <c:v>13874066.34</c:v>
                </c:pt>
                <c:pt idx="35">
                  <c:v>2726423.3300000005</c:v>
                </c:pt>
                <c:pt idx="36">
                  <c:v>13885502.9</c:v>
                </c:pt>
                <c:pt idx="37">
                  <c:v>15452363.310000001</c:v>
                </c:pt>
                <c:pt idx="38">
                  <c:v>6618758.3799999999</c:v>
                </c:pt>
                <c:pt idx="39">
                  <c:v>4316257.3999999994</c:v>
                </c:pt>
                <c:pt idx="40">
                  <c:v>3177518.8499999996</c:v>
                </c:pt>
                <c:pt idx="41">
                  <c:v>3990980.8300000005</c:v>
                </c:pt>
                <c:pt idx="42">
                  <c:v>32489001.059999999</c:v>
                </c:pt>
                <c:pt idx="43">
                  <c:v>1610340.39</c:v>
                </c:pt>
                <c:pt idx="44">
                  <c:v>13851088.319999998</c:v>
                </c:pt>
                <c:pt idx="45">
                  <c:v>12621745.98</c:v>
                </c:pt>
                <c:pt idx="46">
                  <c:v>18182214.740000002</c:v>
                </c:pt>
                <c:pt idx="47">
                  <c:v>10317299.16</c:v>
                </c:pt>
                <c:pt idx="48">
                  <c:v>156214144.28999999</c:v>
                </c:pt>
                <c:pt idx="49">
                  <c:v>7512269.5300000003</c:v>
                </c:pt>
                <c:pt idx="50">
                  <c:v>3208451.49</c:v>
                </c:pt>
                <c:pt idx="51">
                  <c:v>9525353.120000001</c:v>
                </c:pt>
                <c:pt idx="52">
                  <c:v>14081016.480000002</c:v>
                </c:pt>
                <c:pt idx="53">
                  <c:v>13344945.27</c:v>
                </c:pt>
                <c:pt idx="54">
                  <c:v>4042882.4499999997</c:v>
                </c:pt>
                <c:pt idx="55">
                  <c:v>4255767.58</c:v>
                </c:pt>
                <c:pt idx="56">
                  <c:v>4439551.1399999997</c:v>
                </c:pt>
                <c:pt idx="57">
                  <c:v>5460299.2199999997</c:v>
                </c:pt>
                <c:pt idx="58">
                  <c:v>6898591.6600000001</c:v>
                </c:pt>
                <c:pt idx="59">
                  <c:v>13243345.800000001</c:v>
                </c:pt>
                <c:pt idx="60">
                  <c:v>23948803.969999999</c:v>
                </c:pt>
                <c:pt idx="61">
                  <c:v>13149008.969999997</c:v>
                </c:pt>
                <c:pt idx="62">
                  <c:v>9581515.5999999996</c:v>
                </c:pt>
                <c:pt idx="63">
                  <c:v>3488534.39</c:v>
                </c:pt>
                <c:pt idx="64">
                  <c:v>11130628.690000001</c:v>
                </c:pt>
                <c:pt idx="65">
                  <c:v>23818073.970000003</c:v>
                </c:pt>
                <c:pt idx="66">
                  <c:v>3670382.38</c:v>
                </c:pt>
                <c:pt idx="67">
                  <c:v>1367092.84</c:v>
                </c:pt>
                <c:pt idx="68">
                  <c:v>17024363.309999999</c:v>
                </c:pt>
                <c:pt idx="69">
                  <c:v>10772769.979999999</c:v>
                </c:pt>
                <c:pt idx="70">
                  <c:v>4072958.43</c:v>
                </c:pt>
                <c:pt idx="71">
                  <c:v>2492211.63</c:v>
                </c:pt>
                <c:pt idx="72">
                  <c:v>4949767.1300000008</c:v>
                </c:pt>
                <c:pt idx="73">
                  <c:v>105021778.48999999</c:v>
                </c:pt>
                <c:pt idx="74">
                  <c:v>139176.06</c:v>
                </c:pt>
                <c:pt idx="75">
                  <c:v>39286744.849999994</c:v>
                </c:pt>
                <c:pt idx="76">
                  <c:v>7390719.96</c:v>
                </c:pt>
                <c:pt idx="77">
                  <c:v>388429.24</c:v>
                </c:pt>
              </c:numCache>
            </c:numRef>
          </c:val>
        </c:ser>
        <c:ser>
          <c:idx val="11"/>
          <c:order val="11"/>
          <c:tx>
            <c:strRef>
              <c:f>Inputs!$U$3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Inputs!$U$4:$U$81</c:f>
              <c:numCache>
                <c:formatCode>General</c:formatCode>
                <c:ptCount val="78"/>
                <c:pt idx="0">
                  <c:v>15104726</c:v>
                </c:pt>
                <c:pt idx="1">
                  <c:v>6265839</c:v>
                </c:pt>
                <c:pt idx="2">
                  <c:v>10919473</c:v>
                </c:pt>
                <c:pt idx="3">
                  <c:v>359793570</c:v>
                </c:pt>
                <c:pt idx="4">
                  <c:v>9499826</c:v>
                </c:pt>
                <c:pt idx="5">
                  <c:v>2616367</c:v>
                </c:pt>
                <c:pt idx="6">
                  <c:v>5158225</c:v>
                </c:pt>
                <c:pt idx="7">
                  <c:v>3285492</c:v>
                </c:pt>
                <c:pt idx="8">
                  <c:v>2538329</c:v>
                </c:pt>
                <c:pt idx="9">
                  <c:v>2067119</c:v>
                </c:pt>
                <c:pt idx="10">
                  <c:v>4728728</c:v>
                </c:pt>
                <c:pt idx="11">
                  <c:v>14326999</c:v>
                </c:pt>
                <c:pt idx="12">
                  <c:v>7881081</c:v>
                </c:pt>
                <c:pt idx="13">
                  <c:v>6357164</c:v>
                </c:pt>
                <c:pt idx="14">
                  <c:v>343463</c:v>
                </c:pt>
                <c:pt idx="15">
                  <c:v>1176405</c:v>
                </c:pt>
                <c:pt idx="16">
                  <c:v>5878089</c:v>
                </c:pt>
                <c:pt idx="17">
                  <c:v>7866910</c:v>
                </c:pt>
                <c:pt idx="18">
                  <c:v>7310081</c:v>
                </c:pt>
                <c:pt idx="19">
                  <c:v>4843501</c:v>
                </c:pt>
                <c:pt idx="20">
                  <c:v>14675850</c:v>
                </c:pt>
                <c:pt idx="21">
                  <c:v>7536169</c:v>
                </c:pt>
                <c:pt idx="22">
                  <c:v>10453572</c:v>
                </c:pt>
                <c:pt idx="23">
                  <c:v>3202035</c:v>
                </c:pt>
                <c:pt idx="24">
                  <c:v>8089281</c:v>
                </c:pt>
                <c:pt idx="25">
                  <c:v>8567629</c:v>
                </c:pt>
                <c:pt idx="26">
                  <c:v>6749114</c:v>
                </c:pt>
                <c:pt idx="27">
                  <c:v>2673862</c:v>
                </c:pt>
                <c:pt idx="28">
                  <c:v>2058351</c:v>
                </c:pt>
                <c:pt idx="29">
                  <c:v>5487388</c:v>
                </c:pt>
                <c:pt idx="30">
                  <c:v>3772699</c:v>
                </c:pt>
                <c:pt idx="31">
                  <c:v>7641104</c:v>
                </c:pt>
                <c:pt idx="32">
                  <c:v>8720884</c:v>
                </c:pt>
                <c:pt idx="33">
                  <c:v>8308516</c:v>
                </c:pt>
                <c:pt idx="34">
                  <c:v>9216368</c:v>
                </c:pt>
                <c:pt idx="35">
                  <c:v>1474435</c:v>
                </c:pt>
                <c:pt idx="36">
                  <c:v>9106774</c:v>
                </c:pt>
                <c:pt idx="37">
                  <c:v>7568373</c:v>
                </c:pt>
                <c:pt idx="38">
                  <c:v>3628252</c:v>
                </c:pt>
                <c:pt idx="39">
                  <c:v>1932304</c:v>
                </c:pt>
                <c:pt idx="40">
                  <c:v>1571620</c:v>
                </c:pt>
                <c:pt idx="41">
                  <c:v>1870436</c:v>
                </c:pt>
                <c:pt idx="42">
                  <c:v>14809649</c:v>
                </c:pt>
                <c:pt idx="43">
                  <c:v>786434</c:v>
                </c:pt>
                <c:pt idx="44">
                  <c:v>6778654</c:v>
                </c:pt>
                <c:pt idx="45">
                  <c:v>6031960</c:v>
                </c:pt>
                <c:pt idx="46">
                  <c:v>9643130</c:v>
                </c:pt>
                <c:pt idx="47">
                  <c:v>4856583</c:v>
                </c:pt>
                <c:pt idx="48">
                  <c:v>113645850</c:v>
                </c:pt>
                <c:pt idx="49">
                  <c:v>4201314</c:v>
                </c:pt>
                <c:pt idx="50">
                  <c:v>1837580</c:v>
                </c:pt>
                <c:pt idx="51">
                  <c:v>4558034</c:v>
                </c:pt>
                <c:pt idx="52">
                  <c:v>7715867</c:v>
                </c:pt>
                <c:pt idx="53">
                  <c:v>7193394</c:v>
                </c:pt>
                <c:pt idx="54">
                  <c:v>2108471</c:v>
                </c:pt>
                <c:pt idx="55">
                  <c:v>2529116</c:v>
                </c:pt>
                <c:pt idx="56">
                  <c:v>2690979</c:v>
                </c:pt>
                <c:pt idx="57">
                  <c:v>3201059</c:v>
                </c:pt>
                <c:pt idx="58">
                  <c:v>3501081</c:v>
                </c:pt>
                <c:pt idx="59">
                  <c:v>8018316</c:v>
                </c:pt>
                <c:pt idx="60">
                  <c:v>13807786</c:v>
                </c:pt>
                <c:pt idx="61">
                  <c:v>6349255</c:v>
                </c:pt>
                <c:pt idx="62">
                  <c:v>5845681</c:v>
                </c:pt>
                <c:pt idx="63">
                  <c:v>1931229</c:v>
                </c:pt>
                <c:pt idx="64">
                  <c:v>6669303</c:v>
                </c:pt>
                <c:pt idx="65">
                  <c:v>12739540</c:v>
                </c:pt>
                <c:pt idx="66">
                  <c:v>3279039</c:v>
                </c:pt>
                <c:pt idx="67">
                  <c:v>696831</c:v>
                </c:pt>
                <c:pt idx="68">
                  <c:v>8852130</c:v>
                </c:pt>
                <c:pt idx="69">
                  <c:v>5493272</c:v>
                </c:pt>
                <c:pt idx="70">
                  <c:v>2205601</c:v>
                </c:pt>
                <c:pt idx="71">
                  <c:v>1313003</c:v>
                </c:pt>
                <c:pt idx="72">
                  <c:v>2709189</c:v>
                </c:pt>
                <c:pt idx="73">
                  <c:v>57307705</c:v>
                </c:pt>
                <c:pt idx="74">
                  <c:v>78287</c:v>
                </c:pt>
                <c:pt idx="75">
                  <c:v>20282191</c:v>
                </c:pt>
                <c:pt idx="76">
                  <c:v>3905630</c:v>
                </c:pt>
                <c:pt idx="77">
                  <c:v>252479</c:v>
                </c:pt>
              </c:numCache>
            </c:numRef>
          </c:val>
        </c:ser>
        <c:ser>
          <c:idx val="12"/>
          <c:order val="12"/>
          <c:tx>
            <c:strRef>
              <c:f>Inputs!$V$3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Inputs!$V$4:$V$81</c:f>
              <c:numCache>
                <c:formatCode>General</c:formatCode>
                <c:ptCount val="78"/>
                <c:pt idx="0">
                  <c:v>34473999.460000001</c:v>
                </c:pt>
                <c:pt idx="1">
                  <c:v>19739082.66</c:v>
                </c:pt>
                <c:pt idx="2">
                  <c:v>28989922.339999992</c:v>
                </c:pt>
                <c:pt idx="3">
                  <c:v>645629075.66999996</c:v>
                </c:pt>
                <c:pt idx="4">
                  <c:v>22138032.09</c:v>
                </c:pt>
                <c:pt idx="5">
                  <c:v>5699486.5600000005</c:v>
                </c:pt>
                <c:pt idx="6">
                  <c:v>10758915.51</c:v>
                </c:pt>
                <c:pt idx="7">
                  <c:v>5698182.1299999999</c:v>
                </c:pt>
                <c:pt idx="8">
                  <c:v>5355982.01</c:v>
                </c:pt>
                <c:pt idx="9">
                  <c:v>4736064.51</c:v>
                </c:pt>
                <c:pt idx="10">
                  <c:v>11285792.57</c:v>
                </c:pt>
                <c:pt idx="11">
                  <c:v>33681179.579999998</c:v>
                </c:pt>
                <c:pt idx="12">
                  <c:v>14526323.859999999</c:v>
                </c:pt>
                <c:pt idx="13">
                  <c:v>9628624.7100000009</c:v>
                </c:pt>
                <c:pt idx="14">
                  <c:v>508396.39999999997</c:v>
                </c:pt>
                <c:pt idx="15">
                  <c:v>2696396.42</c:v>
                </c:pt>
                <c:pt idx="16">
                  <c:v>9989226.4700000007</c:v>
                </c:pt>
                <c:pt idx="17">
                  <c:v>20970647.960000001</c:v>
                </c:pt>
                <c:pt idx="18">
                  <c:v>13914293.870000001</c:v>
                </c:pt>
                <c:pt idx="19">
                  <c:v>10272648.98</c:v>
                </c:pt>
                <c:pt idx="20">
                  <c:v>23691931.309999995</c:v>
                </c:pt>
                <c:pt idx="21">
                  <c:v>13884605.840000002</c:v>
                </c:pt>
                <c:pt idx="22">
                  <c:v>23635721.579999994</c:v>
                </c:pt>
                <c:pt idx="23">
                  <c:v>6965468.0900000008</c:v>
                </c:pt>
                <c:pt idx="24">
                  <c:v>10070182.82</c:v>
                </c:pt>
                <c:pt idx="25">
                  <c:v>14956482.370000001</c:v>
                </c:pt>
                <c:pt idx="26">
                  <c:v>13130237.029999997</c:v>
                </c:pt>
                <c:pt idx="27">
                  <c:v>5688686.71</c:v>
                </c:pt>
                <c:pt idx="28">
                  <c:v>4527759.6799999988</c:v>
                </c:pt>
                <c:pt idx="29">
                  <c:v>10086168.540000001</c:v>
                </c:pt>
                <c:pt idx="30">
                  <c:v>9146278.9199999981</c:v>
                </c:pt>
                <c:pt idx="31">
                  <c:v>12443460.589999996</c:v>
                </c:pt>
                <c:pt idx="32">
                  <c:v>10562944.15</c:v>
                </c:pt>
                <c:pt idx="33">
                  <c:v>11969483.960000001</c:v>
                </c:pt>
                <c:pt idx="34">
                  <c:v>14997936.779999999</c:v>
                </c:pt>
                <c:pt idx="35">
                  <c:v>3000292.11</c:v>
                </c:pt>
                <c:pt idx="36">
                  <c:v>7137923.3200000003</c:v>
                </c:pt>
                <c:pt idx="37">
                  <c:v>14104899.66</c:v>
                </c:pt>
                <c:pt idx="38">
                  <c:v>6780352.5900000008</c:v>
                </c:pt>
                <c:pt idx="39">
                  <c:v>12188779.470000001</c:v>
                </c:pt>
                <c:pt idx="40">
                  <c:v>3206141.3699999992</c:v>
                </c:pt>
                <c:pt idx="41">
                  <c:v>4943245.79</c:v>
                </c:pt>
                <c:pt idx="42">
                  <c:v>45726975.160000004</c:v>
                </c:pt>
                <c:pt idx="43">
                  <c:v>951759.18</c:v>
                </c:pt>
                <c:pt idx="44">
                  <c:v>13621271.390000001</c:v>
                </c:pt>
                <c:pt idx="45">
                  <c:v>10427720.599999998</c:v>
                </c:pt>
                <c:pt idx="46">
                  <c:v>15363229.610000001</c:v>
                </c:pt>
                <c:pt idx="47">
                  <c:v>10034420.029999999</c:v>
                </c:pt>
                <c:pt idx="48">
                  <c:v>106040508.64</c:v>
                </c:pt>
                <c:pt idx="49">
                  <c:v>8222191.5199999996</c:v>
                </c:pt>
                <c:pt idx="50">
                  <c:v>3820837.6599999997</c:v>
                </c:pt>
                <c:pt idx="51">
                  <c:v>10531246.760000004</c:v>
                </c:pt>
                <c:pt idx="52">
                  <c:v>15162225.929999998</c:v>
                </c:pt>
                <c:pt idx="53">
                  <c:v>20930264.329999998</c:v>
                </c:pt>
                <c:pt idx="54">
                  <c:v>4250873.88</c:v>
                </c:pt>
                <c:pt idx="55">
                  <c:v>3707456.9300000006</c:v>
                </c:pt>
                <c:pt idx="56">
                  <c:v>6066902.5600000005</c:v>
                </c:pt>
                <c:pt idx="57">
                  <c:v>3734074.29</c:v>
                </c:pt>
                <c:pt idx="58">
                  <c:v>6750618.79</c:v>
                </c:pt>
                <c:pt idx="59">
                  <c:v>14923920.1</c:v>
                </c:pt>
                <c:pt idx="60">
                  <c:v>31609716.16</c:v>
                </c:pt>
                <c:pt idx="61">
                  <c:v>13383959.950000003</c:v>
                </c:pt>
                <c:pt idx="62">
                  <c:v>10001378.829999998</c:v>
                </c:pt>
                <c:pt idx="63">
                  <c:v>4079733.0099999988</c:v>
                </c:pt>
                <c:pt idx="64">
                  <c:v>10860472.039999999</c:v>
                </c:pt>
                <c:pt idx="65">
                  <c:v>26179373.470000006</c:v>
                </c:pt>
                <c:pt idx="66">
                  <c:v>4918880.55</c:v>
                </c:pt>
                <c:pt idx="67">
                  <c:v>1507490.62</c:v>
                </c:pt>
                <c:pt idx="68">
                  <c:v>17049635.120000001</c:v>
                </c:pt>
                <c:pt idx="69">
                  <c:v>12546278.950000001</c:v>
                </c:pt>
                <c:pt idx="70">
                  <c:v>3769257.48</c:v>
                </c:pt>
                <c:pt idx="71">
                  <c:v>2640182.2599999998</c:v>
                </c:pt>
                <c:pt idx="72">
                  <c:v>5321805.5300000012</c:v>
                </c:pt>
                <c:pt idx="73">
                  <c:v>112705401.38999999</c:v>
                </c:pt>
                <c:pt idx="74">
                  <c:v>145060.54999999999</c:v>
                </c:pt>
                <c:pt idx="75">
                  <c:v>40308369.219999999</c:v>
                </c:pt>
                <c:pt idx="76">
                  <c:v>8918968.1700000018</c:v>
                </c:pt>
                <c:pt idx="77">
                  <c:v>163103.5</c:v>
                </c:pt>
              </c:numCache>
            </c:numRef>
          </c:val>
        </c:ser>
        <c:ser>
          <c:idx val="13"/>
          <c:order val="13"/>
          <c:tx>
            <c:strRef>
              <c:f>Inputs!$W$3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Inputs!$W$4:$W$81</c:f>
              <c:numCache>
                <c:formatCode>General</c:formatCode>
                <c:ptCount val="78"/>
                <c:pt idx="0">
                  <c:v>21830083</c:v>
                </c:pt>
                <c:pt idx="1">
                  <c:v>11813509</c:v>
                </c:pt>
                <c:pt idx="2">
                  <c:v>15419121</c:v>
                </c:pt>
                <c:pt idx="3">
                  <c:v>345287505</c:v>
                </c:pt>
                <c:pt idx="4">
                  <c:v>8721222</c:v>
                </c:pt>
                <c:pt idx="5">
                  <c:v>3058242</c:v>
                </c:pt>
                <c:pt idx="6">
                  <c:v>5221041</c:v>
                </c:pt>
                <c:pt idx="7">
                  <c:v>2979786</c:v>
                </c:pt>
                <c:pt idx="8">
                  <c:v>2737589</c:v>
                </c:pt>
                <c:pt idx="9">
                  <c:v>2071250</c:v>
                </c:pt>
                <c:pt idx="10">
                  <c:v>4988358</c:v>
                </c:pt>
                <c:pt idx="11">
                  <c:v>18189197</c:v>
                </c:pt>
                <c:pt idx="12">
                  <c:v>7353227</c:v>
                </c:pt>
                <c:pt idx="13">
                  <c:v>5778606</c:v>
                </c:pt>
                <c:pt idx="14">
                  <c:v>323007</c:v>
                </c:pt>
                <c:pt idx="15">
                  <c:v>1379527</c:v>
                </c:pt>
                <c:pt idx="16">
                  <c:v>4792891</c:v>
                </c:pt>
                <c:pt idx="17">
                  <c:v>9862389</c:v>
                </c:pt>
                <c:pt idx="18">
                  <c:v>6533665</c:v>
                </c:pt>
                <c:pt idx="19">
                  <c:v>5193910</c:v>
                </c:pt>
                <c:pt idx="20">
                  <c:v>14177468</c:v>
                </c:pt>
                <c:pt idx="21">
                  <c:v>8111268</c:v>
                </c:pt>
                <c:pt idx="22">
                  <c:v>12817437</c:v>
                </c:pt>
                <c:pt idx="23">
                  <c:v>3373384</c:v>
                </c:pt>
                <c:pt idx="24">
                  <c:v>7202114</c:v>
                </c:pt>
                <c:pt idx="25">
                  <c:v>7695583</c:v>
                </c:pt>
                <c:pt idx="26">
                  <c:v>6814856</c:v>
                </c:pt>
                <c:pt idx="27">
                  <c:v>2993410</c:v>
                </c:pt>
                <c:pt idx="28">
                  <c:v>2149506</c:v>
                </c:pt>
                <c:pt idx="29">
                  <c:v>5403236</c:v>
                </c:pt>
                <c:pt idx="30">
                  <c:v>4420436</c:v>
                </c:pt>
                <c:pt idx="31">
                  <c:v>7352228</c:v>
                </c:pt>
                <c:pt idx="32">
                  <c:v>6537789</c:v>
                </c:pt>
                <c:pt idx="33">
                  <c:v>7145352</c:v>
                </c:pt>
                <c:pt idx="34">
                  <c:v>9848745</c:v>
                </c:pt>
                <c:pt idx="35">
                  <c:v>1611168</c:v>
                </c:pt>
                <c:pt idx="36">
                  <c:v>3195838</c:v>
                </c:pt>
                <c:pt idx="37">
                  <c:v>6920772</c:v>
                </c:pt>
                <c:pt idx="38">
                  <c:v>3705120</c:v>
                </c:pt>
                <c:pt idx="39">
                  <c:v>6044700</c:v>
                </c:pt>
                <c:pt idx="40">
                  <c:v>1588628</c:v>
                </c:pt>
                <c:pt idx="41">
                  <c:v>2374952</c:v>
                </c:pt>
                <c:pt idx="42">
                  <c:v>21710945</c:v>
                </c:pt>
                <c:pt idx="43">
                  <c:v>428827</c:v>
                </c:pt>
                <c:pt idx="44">
                  <c:v>6507933</c:v>
                </c:pt>
                <c:pt idx="45">
                  <c:v>4835101</c:v>
                </c:pt>
                <c:pt idx="46">
                  <c:v>7814892</c:v>
                </c:pt>
                <c:pt idx="47">
                  <c:v>4677285</c:v>
                </c:pt>
                <c:pt idx="48">
                  <c:v>70729256</c:v>
                </c:pt>
                <c:pt idx="49">
                  <c:v>4286976</c:v>
                </c:pt>
                <c:pt idx="50">
                  <c:v>2151307</c:v>
                </c:pt>
                <c:pt idx="51">
                  <c:v>5024452</c:v>
                </c:pt>
                <c:pt idx="52">
                  <c:v>8415417</c:v>
                </c:pt>
                <c:pt idx="53">
                  <c:v>11751850</c:v>
                </c:pt>
                <c:pt idx="54">
                  <c:v>2197417</c:v>
                </c:pt>
                <c:pt idx="55">
                  <c:v>2171239</c:v>
                </c:pt>
                <c:pt idx="56">
                  <c:v>3732055</c:v>
                </c:pt>
                <c:pt idx="57">
                  <c:v>2182610</c:v>
                </c:pt>
                <c:pt idx="58">
                  <c:v>3428448</c:v>
                </c:pt>
                <c:pt idx="59">
                  <c:v>8941755</c:v>
                </c:pt>
                <c:pt idx="60">
                  <c:v>18630901</c:v>
                </c:pt>
                <c:pt idx="61">
                  <c:v>6696909</c:v>
                </c:pt>
                <c:pt idx="62">
                  <c:v>5653232</c:v>
                </c:pt>
                <c:pt idx="63">
                  <c:v>2257711</c:v>
                </c:pt>
                <c:pt idx="64">
                  <c:v>6460095</c:v>
                </c:pt>
                <c:pt idx="65">
                  <c:v>14091949</c:v>
                </c:pt>
                <c:pt idx="66">
                  <c:v>4479632</c:v>
                </c:pt>
                <c:pt idx="67">
                  <c:v>781239</c:v>
                </c:pt>
                <c:pt idx="68">
                  <c:v>8830417</c:v>
                </c:pt>
                <c:pt idx="69">
                  <c:v>6382647</c:v>
                </c:pt>
                <c:pt idx="70">
                  <c:v>2037962</c:v>
                </c:pt>
                <c:pt idx="71">
                  <c:v>1394303</c:v>
                </c:pt>
                <c:pt idx="72">
                  <c:v>2917145</c:v>
                </c:pt>
                <c:pt idx="73">
                  <c:v>60539949</c:v>
                </c:pt>
                <c:pt idx="74">
                  <c:v>85412</c:v>
                </c:pt>
                <c:pt idx="75">
                  <c:v>20803079</c:v>
                </c:pt>
                <c:pt idx="76">
                  <c:v>4689056</c:v>
                </c:pt>
                <c:pt idx="77">
                  <c:v>103806</c:v>
                </c:pt>
              </c:numCache>
            </c:numRef>
          </c:val>
        </c:ser>
        <c:ser>
          <c:idx val="14"/>
          <c:order val="14"/>
          <c:tx>
            <c:strRef>
              <c:f>Inputs!$X$3</c:f>
              <c:strCache>
                <c:ptCount val="1"/>
                <c:pt idx="0">
                  <c:v>Total Cost</c:v>
                </c:pt>
              </c:strCache>
            </c:strRef>
          </c:tx>
          <c:invertIfNegative val="0"/>
          <c:val>
            <c:numRef>
              <c:f>Inputs!$X$4:$X$81</c:f>
              <c:numCache>
                <c:formatCode>General</c:formatCode>
                <c:ptCount val="78"/>
                <c:pt idx="0">
                  <c:v>13502320.689999999</c:v>
                </c:pt>
                <c:pt idx="1">
                  <c:v>8540613.1099999994</c:v>
                </c:pt>
                <c:pt idx="2">
                  <c:v>15276939.779999999</c:v>
                </c:pt>
                <c:pt idx="3">
                  <c:v>399503631.00000006</c:v>
                </c:pt>
                <c:pt idx="4">
                  <c:v>9084345.7799999993</c:v>
                </c:pt>
                <c:pt idx="5">
                  <c:v>1044105.35</c:v>
                </c:pt>
                <c:pt idx="6">
                  <c:v>3290835.3</c:v>
                </c:pt>
                <c:pt idx="7">
                  <c:v>3381692.72</c:v>
                </c:pt>
                <c:pt idx="8">
                  <c:v>2400654.7099999995</c:v>
                </c:pt>
                <c:pt idx="9">
                  <c:v>2464328</c:v>
                </c:pt>
                <c:pt idx="10">
                  <c:v>7191820.1800000006</c:v>
                </c:pt>
                <c:pt idx="11">
                  <c:v>19113539.27</c:v>
                </c:pt>
                <c:pt idx="12">
                  <c:v>6617863.46</c:v>
                </c:pt>
                <c:pt idx="13">
                  <c:v>4376789.3100000005</c:v>
                </c:pt>
                <c:pt idx="14">
                  <c:v>156333.34</c:v>
                </c:pt>
                <c:pt idx="15">
                  <c:v>1531678.57</c:v>
                </c:pt>
                <c:pt idx="16">
                  <c:v>4172815.6799999997</c:v>
                </c:pt>
                <c:pt idx="17">
                  <c:v>6752588.1800000006</c:v>
                </c:pt>
                <c:pt idx="18">
                  <c:v>7570573.4700000007</c:v>
                </c:pt>
                <c:pt idx="19">
                  <c:v>5016254.9700000007</c:v>
                </c:pt>
                <c:pt idx="20">
                  <c:v>13834911.809999999</c:v>
                </c:pt>
                <c:pt idx="21">
                  <c:v>5174990.01</c:v>
                </c:pt>
                <c:pt idx="22">
                  <c:v>12308972.98</c:v>
                </c:pt>
                <c:pt idx="23">
                  <c:v>3246264.7299999995</c:v>
                </c:pt>
                <c:pt idx="24">
                  <c:v>2364367.6500000004</c:v>
                </c:pt>
                <c:pt idx="25">
                  <c:v>5228057.7000000011</c:v>
                </c:pt>
                <c:pt idx="26">
                  <c:v>6445479.6699999999</c:v>
                </c:pt>
                <c:pt idx="27">
                  <c:v>2342700.15</c:v>
                </c:pt>
                <c:pt idx="28">
                  <c:v>2371498</c:v>
                </c:pt>
                <c:pt idx="29">
                  <c:v>7116294.4399999985</c:v>
                </c:pt>
                <c:pt idx="30">
                  <c:v>3394684.3299999996</c:v>
                </c:pt>
                <c:pt idx="31">
                  <c:v>6598289.6099999994</c:v>
                </c:pt>
                <c:pt idx="32">
                  <c:v>6830281.2899999991</c:v>
                </c:pt>
                <c:pt idx="33">
                  <c:v>5874193.3099999996</c:v>
                </c:pt>
                <c:pt idx="34">
                  <c:v>10568477.640000002</c:v>
                </c:pt>
                <c:pt idx="35">
                  <c:v>1262216.6900000002</c:v>
                </c:pt>
                <c:pt idx="36">
                  <c:v>2016331.9400000002</c:v>
                </c:pt>
                <c:pt idx="37">
                  <c:v>6203452.9500000011</c:v>
                </c:pt>
                <c:pt idx="38">
                  <c:v>2863705.26</c:v>
                </c:pt>
                <c:pt idx="39">
                  <c:v>3094633.33</c:v>
                </c:pt>
                <c:pt idx="40">
                  <c:v>1445861.52</c:v>
                </c:pt>
                <c:pt idx="41">
                  <c:v>3622537.9800000009</c:v>
                </c:pt>
                <c:pt idx="42">
                  <c:v>17094000.009999998</c:v>
                </c:pt>
                <c:pt idx="43">
                  <c:v>343793.60999999993</c:v>
                </c:pt>
                <c:pt idx="44">
                  <c:v>5795032.6699999999</c:v>
                </c:pt>
                <c:pt idx="45">
                  <c:v>3903777.4899999998</c:v>
                </c:pt>
                <c:pt idx="46">
                  <c:v>4965623.71</c:v>
                </c:pt>
                <c:pt idx="47">
                  <c:v>5368055.12</c:v>
                </c:pt>
                <c:pt idx="48">
                  <c:v>77724360.739999995</c:v>
                </c:pt>
                <c:pt idx="49">
                  <c:v>2605028.86</c:v>
                </c:pt>
                <c:pt idx="50">
                  <c:v>1665040.7299999995</c:v>
                </c:pt>
                <c:pt idx="51">
                  <c:v>5174637.25</c:v>
                </c:pt>
                <c:pt idx="52">
                  <c:v>7254576.1899999995</c:v>
                </c:pt>
                <c:pt idx="53">
                  <c:v>5471981.5300000012</c:v>
                </c:pt>
                <c:pt idx="54">
                  <c:v>2335640.7499999995</c:v>
                </c:pt>
                <c:pt idx="55">
                  <c:v>1405881.96</c:v>
                </c:pt>
                <c:pt idx="56">
                  <c:v>1545443.5399999998</c:v>
                </c:pt>
                <c:pt idx="57">
                  <c:v>1001993.2</c:v>
                </c:pt>
                <c:pt idx="58">
                  <c:v>2640620.02</c:v>
                </c:pt>
                <c:pt idx="59">
                  <c:v>4271305.17</c:v>
                </c:pt>
                <c:pt idx="60">
                  <c:v>9611249.2600000016</c:v>
                </c:pt>
                <c:pt idx="61">
                  <c:v>4586195.9700000007</c:v>
                </c:pt>
                <c:pt idx="62">
                  <c:v>5905739.6699999999</c:v>
                </c:pt>
                <c:pt idx="63">
                  <c:v>1541828.5499999998</c:v>
                </c:pt>
                <c:pt idx="64">
                  <c:v>4330326.91</c:v>
                </c:pt>
                <c:pt idx="65">
                  <c:v>10681944.449999997</c:v>
                </c:pt>
                <c:pt idx="66">
                  <c:v>1494964.4600000002</c:v>
                </c:pt>
                <c:pt idx="67">
                  <c:v>1069061.2</c:v>
                </c:pt>
                <c:pt idx="68">
                  <c:v>10198976.15</c:v>
                </c:pt>
                <c:pt idx="69">
                  <c:v>6829912.2400000002</c:v>
                </c:pt>
                <c:pt idx="70">
                  <c:v>2169858.7000000002</c:v>
                </c:pt>
                <c:pt idx="71">
                  <c:v>900327.82000000007</c:v>
                </c:pt>
                <c:pt idx="72">
                  <c:v>3007546.77</c:v>
                </c:pt>
                <c:pt idx="73">
                  <c:v>72995611.480000004</c:v>
                </c:pt>
                <c:pt idx="74">
                  <c:v>82825.08</c:v>
                </c:pt>
                <c:pt idx="75">
                  <c:v>21028307.82</c:v>
                </c:pt>
                <c:pt idx="76">
                  <c:v>4859553.580000001</c:v>
                </c:pt>
                <c:pt idx="77">
                  <c:v>104410.94</c:v>
                </c:pt>
              </c:numCache>
            </c:numRef>
          </c:val>
        </c:ser>
        <c:ser>
          <c:idx val="15"/>
          <c:order val="15"/>
          <c:tx>
            <c:strRef>
              <c:f>Inputs!$Y$3</c:f>
              <c:strCache>
                <c:ptCount val="1"/>
                <c:pt idx="0">
                  <c:v>NLTF</c:v>
                </c:pt>
              </c:strCache>
            </c:strRef>
          </c:tx>
          <c:invertIfNegative val="0"/>
          <c:val>
            <c:numRef>
              <c:f>Inputs!$Y$4:$Y$81</c:f>
              <c:numCache>
                <c:formatCode>General</c:formatCode>
                <c:ptCount val="78"/>
                <c:pt idx="0">
                  <c:v>8054567</c:v>
                </c:pt>
                <c:pt idx="1">
                  <c:v>5209774</c:v>
                </c:pt>
                <c:pt idx="2">
                  <c:v>8350388</c:v>
                </c:pt>
                <c:pt idx="3">
                  <c:v>208037080</c:v>
                </c:pt>
                <c:pt idx="4">
                  <c:v>4543346</c:v>
                </c:pt>
                <c:pt idx="5">
                  <c:v>584699</c:v>
                </c:pt>
                <c:pt idx="6">
                  <c:v>1678326</c:v>
                </c:pt>
                <c:pt idx="7">
                  <c:v>1859931</c:v>
                </c:pt>
                <c:pt idx="8">
                  <c:v>1272347</c:v>
                </c:pt>
                <c:pt idx="9">
                  <c:v>1232164</c:v>
                </c:pt>
                <c:pt idx="10">
                  <c:v>3315146</c:v>
                </c:pt>
                <c:pt idx="11">
                  <c:v>10319320</c:v>
                </c:pt>
                <c:pt idx="12">
                  <c:v>3441289</c:v>
                </c:pt>
                <c:pt idx="13">
                  <c:v>2712646</c:v>
                </c:pt>
                <c:pt idx="14">
                  <c:v>103180</c:v>
                </c:pt>
                <c:pt idx="15">
                  <c:v>827804</c:v>
                </c:pt>
                <c:pt idx="16">
                  <c:v>2128136</c:v>
                </c:pt>
                <c:pt idx="17">
                  <c:v>3175104</c:v>
                </c:pt>
                <c:pt idx="18">
                  <c:v>3709581</c:v>
                </c:pt>
                <c:pt idx="19">
                  <c:v>2660695</c:v>
                </c:pt>
                <c:pt idx="20">
                  <c:v>8444652</c:v>
                </c:pt>
                <c:pt idx="21">
                  <c:v>3104994</c:v>
                </c:pt>
                <c:pt idx="22">
                  <c:v>6718233</c:v>
                </c:pt>
                <c:pt idx="23">
                  <c:v>1655595</c:v>
                </c:pt>
                <c:pt idx="24">
                  <c:v>1607770</c:v>
                </c:pt>
                <c:pt idx="25">
                  <c:v>2718590</c:v>
                </c:pt>
                <c:pt idx="26">
                  <c:v>3485112</c:v>
                </c:pt>
                <c:pt idx="27">
                  <c:v>1298536</c:v>
                </c:pt>
                <c:pt idx="28">
                  <c:v>1185749</c:v>
                </c:pt>
                <c:pt idx="29">
                  <c:v>3842799</c:v>
                </c:pt>
                <c:pt idx="30">
                  <c:v>1731289</c:v>
                </c:pt>
                <c:pt idx="31">
                  <c:v>4533141</c:v>
                </c:pt>
                <c:pt idx="32">
                  <c:v>4371380</c:v>
                </c:pt>
                <c:pt idx="33">
                  <c:v>3659654</c:v>
                </c:pt>
                <c:pt idx="34">
                  <c:v>7109659</c:v>
                </c:pt>
                <c:pt idx="35">
                  <c:v>681597</c:v>
                </c:pt>
                <c:pt idx="36">
                  <c:v>947676</c:v>
                </c:pt>
                <c:pt idx="37">
                  <c:v>3163761</c:v>
                </c:pt>
                <c:pt idx="38">
                  <c:v>1630192</c:v>
                </c:pt>
                <c:pt idx="39">
                  <c:v>1540178</c:v>
                </c:pt>
                <c:pt idx="40">
                  <c:v>751848</c:v>
                </c:pt>
                <c:pt idx="41">
                  <c:v>2005240</c:v>
                </c:pt>
                <c:pt idx="42">
                  <c:v>8205120</c:v>
                </c:pt>
                <c:pt idx="43">
                  <c:v>161583</c:v>
                </c:pt>
                <c:pt idx="44">
                  <c:v>2903870</c:v>
                </c:pt>
                <c:pt idx="45">
                  <c:v>1857328</c:v>
                </c:pt>
                <c:pt idx="46">
                  <c:v>2585487</c:v>
                </c:pt>
                <c:pt idx="47">
                  <c:v>2630347</c:v>
                </c:pt>
                <c:pt idx="48">
                  <c:v>54845807</c:v>
                </c:pt>
                <c:pt idx="49">
                  <c:v>1354615</c:v>
                </c:pt>
                <c:pt idx="50">
                  <c:v>899122</c:v>
                </c:pt>
                <c:pt idx="51">
                  <c:v>2639065</c:v>
                </c:pt>
                <c:pt idx="52">
                  <c:v>3990279</c:v>
                </c:pt>
                <c:pt idx="53">
                  <c:v>2859098</c:v>
                </c:pt>
                <c:pt idx="54">
                  <c:v>1261246</c:v>
                </c:pt>
                <c:pt idx="55">
                  <c:v>857588</c:v>
                </c:pt>
                <c:pt idx="56">
                  <c:v>958175</c:v>
                </c:pt>
                <c:pt idx="57">
                  <c:v>591176</c:v>
                </c:pt>
                <c:pt idx="58">
                  <c:v>1376182</c:v>
                </c:pt>
                <c:pt idx="59">
                  <c:v>2594786</c:v>
                </c:pt>
                <c:pt idx="60">
                  <c:v>5706504</c:v>
                </c:pt>
                <c:pt idx="61">
                  <c:v>2487927</c:v>
                </c:pt>
                <c:pt idx="62">
                  <c:v>3425329</c:v>
                </c:pt>
                <c:pt idx="63">
                  <c:v>863424</c:v>
                </c:pt>
                <c:pt idx="64">
                  <c:v>2599914</c:v>
                </c:pt>
                <c:pt idx="65">
                  <c:v>5768250</c:v>
                </c:pt>
                <c:pt idx="66">
                  <c:v>1345468</c:v>
                </c:pt>
                <c:pt idx="67">
                  <c:v>558868</c:v>
                </c:pt>
                <c:pt idx="68">
                  <c:v>5325390</c:v>
                </c:pt>
                <c:pt idx="69">
                  <c:v>3549192</c:v>
                </c:pt>
                <c:pt idx="70">
                  <c:v>1254038</c:v>
                </c:pt>
                <c:pt idx="71">
                  <c:v>479527</c:v>
                </c:pt>
                <c:pt idx="72">
                  <c:v>1673151.88</c:v>
                </c:pt>
                <c:pt idx="73">
                  <c:v>39477243</c:v>
                </c:pt>
                <c:pt idx="74">
                  <c:v>47088</c:v>
                </c:pt>
                <c:pt idx="75">
                  <c:v>11059623</c:v>
                </c:pt>
                <c:pt idx="76">
                  <c:v>2624761</c:v>
                </c:pt>
                <c:pt idx="77">
                  <c:v>66823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1358720"/>
        <c:axId val="91360256"/>
      </c:barChart>
      <c:catAx>
        <c:axId val="91358720"/>
        <c:scaling>
          <c:orientation val="minMax"/>
        </c:scaling>
        <c:delete val="0"/>
        <c:axPos val="l"/>
        <c:majorTickMark val="out"/>
        <c:minorTickMark val="none"/>
        <c:tickLblPos val="nextTo"/>
        <c:crossAx val="91360256"/>
        <c:crosses val="autoZero"/>
        <c:auto val="1"/>
        <c:lblAlgn val="ctr"/>
        <c:lblOffset val="100"/>
        <c:noMultiLvlLbl val="0"/>
      </c:catAx>
      <c:valAx>
        <c:axId val="913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1358720"/>
        <c:crosses val="autoZero"/>
        <c:crossBetween val="between"/>
      </c:valAx>
    </c:plotArea>
    <c:legend>
      <c:legendPos val="r"/>
      <c:layout/>
      <c:overlay val="1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Percentage</a:t>
            </a:r>
            <a:r>
              <a:rPr lang="en-NZ" baseline="0"/>
              <a:t> change in changed inputs from 2014 to 2016</a:t>
            </a:r>
            <a:endParaRPr lang="en-NZ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Inputs!$BX$3</c:f>
              <c:strCache>
                <c:ptCount val="1"/>
                <c:pt idx="0">
                  <c:v>Centreline KM, -0.03% National Average Change </c:v>
                </c:pt>
              </c:strCache>
            </c:strRef>
          </c:tx>
          <c:invertIfNegative val="0"/>
          <c:cat>
            <c:strRef>
              <c:f>Inputs!$BW$4:$BW$81</c:f>
              <c:strCache>
                <c:ptCount val="78"/>
                <c:pt idx="0">
                  <c:v>Far North District</c:v>
                </c:pt>
                <c:pt idx="1">
                  <c:v>Kaipara District</c:v>
                </c:pt>
                <c:pt idx="2">
                  <c:v>Whangarei District</c:v>
                </c:pt>
                <c:pt idx="3">
                  <c:v>Auckland</c:v>
                </c:pt>
                <c:pt idx="4">
                  <c:v>Hamilton City</c:v>
                </c:pt>
                <c:pt idx="5">
                  <c:v>Hauraki District</c:v>
                </c:pt>
                <c:pt idx="6">
                  <c:v>Matamata-Piako District</c:v>
                </c:pt>
                <c:pt idx="7">
                  <c:v>Otorohanga District</c:v>
                </c:pt>
                <c:pt idx="8">
                  <c:v>South Waikato District</c:v>
                </c:pt>
                <c:pt idx="9">
                  <c:v>Taupo District</c:v>
                </c:pt>
                <c:pt idx="10">
                  <c:v>Thames-Coromandel District</c:v>
                </c:pt>
                <c:pt idx="11">
                  <c:v>Waikato District</c:v>
                </c:pt>
                <c:pt idx="12">
                  <c:v>Waipa District</c:v>
                </c:pt>
                <c:pt idx="13">
                  <c:v>Waitomo District</c:v>
                </c:pt>
                <c:pt idx="14">
                  <c:v>Kawerau District</c:v>
                </c:pt>
                <c:pt idx="15">
                  <c:v>Opotiki District</c:v>
                </c:pt>
                <c:pt idx="16">
                  <c:v>Rotorua District</c:v>
                </c:pt>
                <c:pt idx="17">
                  <c:v>Tauranga City</c:v>
                </c:pt>
                <c:pt idx="18">
                  <c:v>Western Bay of Plenty District</c:v>
                </c:pt>
                <c:pt idx="19">
                  <c:v>Whakatane District</c:v>
                </c:pt>
                <c:pt idx="20">
                  <c:v>Gisborne District</c:v>
                </c:pt>
                <c:pt idx="21">
                  <c:v>Central Hawke's Bay District</c:v>
                </c:pt>
                <c:pt idx="22">
                  <c:v>Hastings District</c:v>
                </c:pt>
                <c:pt idx="23">
                  <c:v>Napier City</c:v>
                </c:pt>
                <c:pt idx="24">
                  <c:v>Wairoa District</c:v>
                </c:pt>
                <c:pt idx="25">
                  <c:v>New Plymouth District</c:v>
                </c:pt>
                <c:pt idx="26">
                  <c:v>South Taranaki District</c:v>
                </c:pt>
                <c:pt idx="27">
                  <c:v>Stratford District</c:v>
                </c:pt>
                <c:pt idx="28">
                  <c:v>Horowhenua District</c:v>
                </c:pt>
                <c:pt idx="29">
                  <c:v>Manawatu District</c:v>
                </c:pt>
                <c:pt idx="30">
                  <c:v>Palmerston North City</c:v>
                </c:pt>
                <c:pt idx="31">
                  <c:v>Rangitikei District</c:v>
                </c:pt>
                <c:pt idx="32">
                  <c:v>Ruapehu District</c:v>
                </c:pt>
                <c:pt idx="33">
                  <c:v>Tararua District</c:v>
                </c:pt>
                <c:pt idx="34">
                  <c:v>Wanganui District</c:v>
                </c:pt>
                <c:pt idx="35">
                  <c:v>Carterton District</c:v>
                </c:pt>
                <c:pt idx="36">
                  <c:v>Kapiti Coast District</c:v>
                </c:pt>
                <c:pt idx="37">
                  <c:v>Lower Hutt City</c:v>
                </c:pt>
                <c:pt idx="38">
                  <c:v>Masterton District</c:v>
                </c:pt>
                <c:pt idx="39">
                  <c:v>Porirua City</c:v>
                </c:pt>
                <c:pt idx="40">
                  <c:v>South Wairarapa District</c:v>
                </c:pt>
                <c:pt idx="41">
                  <c:v>Upper Hutt City</c:v>
                </c:pt>
                <c:pt idx="42">
                  <c:v>Wellington City</c:v>
                </c:pt>
                <c:pt idx="43">
                  <c:v>Kaikoura District</c:v>
                </c:pt>
                <c:pt idx="44">
                  <c:v>Marlborough District</c:v>
                </c:pt>
                <c:pt idx="45">
                  <c:v>Nelson City</c:v>
                </c:pt>
                <c:pt idx="46">
                  <c:v>Tasman District</c:v>
                </c:pt>
                <c:pt idx="47">
                  <c:v>Ashburton District</c:v>
                </c:pt>
                <c:pt idx="48">
                  <c:v>Christchurch City</c:v>
                </c:pt>
                <c:pt idx="49">
                  <c:v>Hurunui District</c:v>
                </c:pt>
                <c:pt idx="50">
                  <c:v>Mackenzie District</c:v>
                </c:pt>
                <c:pt idx="51">
                  <c:v>Selwyn District</c:v>
                </c:pt>
                <c:pt idx="52">
                  <c:v>Timaru District</c:v>
                </c:pt>
                <c:pt idx="53">
                  <c:v>Waimakariri District</c:v>
                </c:pt>
                <c:pt idx="54">
                  <c:v>Waimate District</c:v>
                </c:pt>
                <c:pt idx="55">
                  <c:v>Buller District</c:v>
                </c:pt>
                <c:pt idx="56">
                  <c:v>Grey District</c:v>
                </c:pt>
                <c:pt idx="57">
                  <c:v>Westland District</c:v>
                </c:pt>
                <c:pt idx="58">
                  <c:v>Central Otago District</c:v>
                </c:pt>
                <c:pt idx="59">
                  <c:v>Clutha District</c:v>
                </c:pt>
                <c:pt idx="60">
                  <c:v>Dunedin City</c:v>
                </c:pt>
                <c:pt idx="61">
                  <c:v>Queenstown-Lakes District</c:v>
                </c:pt>
                <c:pt idx="62">
                  <c:v>Waitaki District</c:v>
                </c:pt>
                <c:pt idx="63">
                  <c:v>Gore District</c:v>
                </c:pt>
                <c:pt idx="64">
                  <c:v>Invercargill City</c:v>
                </c:pt>
                <c:pt idx="65">
                  <c:v>Southland District</c:v>
                </c:pt>
                <c:pt idx="66">
                  <c:v>Chatham Islands Territory</c:v>
                </c:pt>
                <c:pt idx="67">
                  <c:v>Northland Regional</c:v>
                </c:pt>
                <c:pt idx="68">
                  <c:v>Waikato Regional</c:v>
                </c:pt>
                <c:pt idx="69">
                  <c:v>Bay of Plenty Regional</c:v>
                </c:pt>
                <c:pt idx="70">
                  <c:v>Hawkes Bay Regional</c:v>
                </c:pt>
                <c:pt idx="71">
                  <c:v>Taranaki Regional</c:v>
                </c:pt>
                <c:pt idx="72">
                  <c:v>Manawatu-Wanganui Regional</c:v>
                </c:pt>
                <c:pt idx="73">
                  <c:v>Wellington Regional</c:v>
                </c:pt>
                <c:pt idx="74">
                  <c:v>West Coast Regional</c:v>
                </c:pt>
                <c:pt idx="75">
                  <c:v>Canterbury Regional</c:v>
                </c:pt>
                <c:pt idx="76">
                  <c:v>Otago Regional</c:v>
                </c:pt>
                <c:pt idx="77">
                  <c:v>Southland Regional</c:v>
                </c:pt>
              </c:strCache>
            </c:strRef>
          </c:cat>
          <c:val>
            <c:numRef>
              <c:f>Inputs!$BX$4:$BX$81</c:f>
              <c:numCache>
                <c:formatCode>0.00%</c:formatCode>
                <c:ptCount val="78"/>
                <c:pt idx="0">
                  <c:v>-1.9646365422396856E-4</c:v>
                </c:pt>
                <c:pt idx="1">
                  <c:v>6.3816209317108514E-5</c:v>
                </c:pt>
                <c:pt idx="2">
                  <c:v>-5.6211354693596991E-5</c:v>
                </c:pt>
                <c:pt idx="3">
                  <c:v>1.3848497438078354E-5</c:v>
                </c:pt>
                <c:pt idx="4">
                  <c:v>1.5723270440255147E-4</c:v>
                </c:pt>
                <c:pt idx="5">
                  <c:v>-1.555209953344055E-4</c:v>
                </c:pt>
                <c:pt idx="6">
                  <c:v>7.0351758793962989E-4</c:v>
                </c:pt>
                <c:pt idx="7">
                  <c:v>-1.2437810945276461E-4</c:v>
                </c:pt>
                <c:pt idx="8">
                  <c:v>-2.1568627450980838E-3</c:v>
                </c:pt>
                <c:pt idx="9">
                  <c:v>3.9421813403425521E-4</c:v>
                </c:pt>
                <c:pt idx="10">
                  <c:v>-5.8309037900887894E-4</c:v>
                </c:pt>
                <c:pt idx="11">
                  <c:v>1.2427506213760642E-4</c:v>
                </c:pt>
                <c:pt idx="12">
                  <c:v>-4.6685340802987864E-4</c:v>
                </c:pt>
                <c:pt idx="13">
                  <c:v>0</c:v>
                </c:pt>
                <c:pt idx="14">
                  <c:v>-9.9999999999999638E-3</c:v>
                </c:pt>
                <c:pt idx="15">
                  <c:v>-1.1869436201779741E-3</c:v>
                </c:pt>
                <c:pt idx="16">
                  <c:v>-6.9651741293525556E-4</c:v>
                </c:pt>
                <c:pt idx="17">
                  <c:v>-1.8621973929236499E-3</c:v>
                </c:pt>
                <c:pt idx="18">
                  <c:v>-1.9417475728159754E-4</c:v>
                </c:pt>
                <c:pt idx="19">
                  <c:v>0</c:v>
                </c:pt>
                <c:pt idx="20">
                  <c:v>5.0982474774297062E-3</c:v>
                </c:pt>
                <c:pt idx="21">
                  <c:v>7.9176563737061795E-5</c:v>
                </c:pt>
                <c:pt idx="22">
                  <c:v>1.8416206261507337E-4</c:v>
                </c:pt>
                <c:pt idx="23">
                  <c:v>1.1235955056179137E-3</c:v>
                </c:pt>
                <c:pt idx="24">
                  <c:v>-4.4543429844095465E-4</c:v>
                </c:pt>
                <c:pt idx="25">
                  <c:v>-3.9093041438623924E-4</c:v>
                </c:pt>
                <c:pt idx="26">
                  <c:v>-3.6923076923071327E-4</c:v>
                </c:pt>
                <c:pt idx="27">
                  <c:v>-3.3444816053500298E-4</c:v>
                </c:pt>
                <c:pt idx="28">
                  <c:v>-1.8932874354561492E-3</c:v>
                </c:pt>
                <c:pt idx="29">
                  <c:v>2.943340691685732E-4</c:v>
                </c:pt>
                <c:pt idx="30">
                  <c:v>8.5616438356164379E-4</c:v>
                </c:pt>
                <c:pt idx="31">
                  <c:v>0</c:v>
                </c:pt>
                <c:pt idx="32">
                  <c:v>-7.4794315631943937E-5</c:v>
                </c:pt>
                <c:pt idx="33">
                  <c:v>0</c:v>
                </c:pt>
                <c:pt idx="34">
                  <c:v>-1.1890606420916652E-4</c:v>
                </c:pt>
                <c:pt idx="35">
                  <c:v>-1.5765765765766791E-3</c:v>
                </c:pt>
                <c:pt idx="36">
                  <c:v>0</c:v>
                </c:pt>
                <c:pt idx="37">
                  <c:v>0</c:v>
                </c:pt>
                <c:pt idx="38">
                  <c:v>4.9813200498129173E-4</c:v>
                </c:pt>
                <c:pt idx="39">
                  <c:v>-2.8455284552845067E-3</c:v>
                </c:pt>
                <c:pt idx="40">
                  <c:v>-1.9461077844310697E-3</c:v>
                </c:pt>
                <c:pt idx="41">
                  <c:v>1.26050420168072E-3</c:v>
                </c:pt>
                <c:pt idx="42">
                  <c:v>-4.34153400868241E-4</c:v>
                </c:pt>
                <c:pt idx="43">
                  <c:v>-1.463414634146397E-3</c:v>
                </c:pt>
                <c:pt idx="44">
                  <c:v>-9.1324200913247937E-4</c:v>
                </c:pt>
                <c:pt idx="45">
                  <c:v>1.5267175572518216E-3</c:v>
                </c:pt>
                <c:pt idx="46">
                  <c:v>-1.1547344110844001E-4</c:v>
                </c:pt>
                <c:pt idx="47">
                  <c:v>-3.759398496237182E-5</c:v>
                </c:pt>
                <c:pt idx="48">
                  <c:v>-2.5717959708525891E-4</c:v>
                </c:pt>
                <c:pt idx="49">
                  <c:v>4.8076923076910584E-4</c:v>
                </c:pt>
                <c:pt idx="50">
                  <c:v>1.4044943820224719E-3</c:v>
                </c:pt>
                <c:pt idx="51">
                  <c:v>-8.0256821829782543E-5</c:v>
                </c:pt>
                <c:pt idx="52">
                  <c:v>1.1655011655001054E-4</c:v>
                </c:pt>
                <c:pt idx="53">
                  <c:v>-6.5189048239836403E-5</c:v>
                </c:pt>
                <c:pt idx="54">
                  <c:v>-4.4910179640711754E-4</c:v>
                </c:pt>
                <c:pt idx="55">
                  <c:v>4.9916805324451668E-4</c:v>
                </c:pt>
                <c:pt idx="56">
                  <c:v>-1.311475409835991E-3</c:v>
                </c:pt>
                <c:pt idx="57">
                  <c:v>5.943536404161827E-4</c:v>
                </c:pt>
                <c:pt idx="58">
                  <c:v>-2.122015915119846E-4</c:v>
                </c:pt>
                <c:pt idx="59">
                  <c:v>-1.3703323055828579E-4</c:v>
                </c:pt>
                <c:pt idx="60">
                  <c:v>4.5274476513862736E-4</c:v>
                </c:pt>
                <c:pt idx="61">
                  <c:v>-2.3170731707316795E-3</c:v>
                </c:pt>
                <c:pt idx="62">
                  <c:v>-3.8674033149161221E-4</c:v>
                </c:pt>
                <c:pt idx="63">
                  <c:v>1.1198208286674132E-3</c:v>
                </c:pt>
                <c:pt idx="64">
                  <c:v>-1.3377926421403923E-3</c:v>
                </c:pt>
                <c:pt idx="65">
                  <c:v>-2.2132796780691426E-4</c:v>
                </c:pt>
                <c:pt idx="66">
                  <c:v>-1.1173184357541265E-3</c:v>
                </c:pt>
                <c:pt idx="67">
                  <c:v>-8.4875233406891867E-5</c:v>
                </c:pt>
                <c:pt idx="68">
                  <c:v>-8.3411531644173961E-5</c:v>
                </c:pt>
                <c:pt idx="69">
                  <c:v>-7.0093457943920512E-4</c:v>
                </c:pt>
                <c:pt idx="70">
                  <c:v>9.6478533526202649E-5</c:v>
                </c:pt>
                <c:pt idx="71">
                  <c:v>-3.7121644774406828E-4</c:v>
                </c:pt>
                <c:pt idx="72">
                  <c:v>-5.0748540979400683E-5</c:v>
                </c:pt>
                <c:pt idx="73">
                  <c:v>-5.7963709677423937E-4</c:v>
                </c:pt>
                <c:pt idx="74">
                  <c:v>-5.3078556263221367E-5</c:v>
                </c:pt>
                <c:pt idx="75">
                  <c:v>0</c:v>
                </c:pt>
                <c:pt idx="76">
                  <c:v>-2.8257798065411857E-4</c:v>
                </c:pt>
                <c:pt idx="77">
                  <c:v>-1.3929732239599841E-4</c:v>
                </c:pt>
              </c:numCache>
            </c:numRef>
          </c:val>
        </c:ser>
        <c:ser>
          <c:idx val="1"/>
          <c:order val="1"/>
          <c:tx>
            <c:strRef>
              <c:f>Inputs!$BY$3</c:f>
              <c:strCache>
                <c:ptCount val="1"/>
                <c:pt idx="0">
                  <c:v>Capital Value, 18% National Average Change </c:v>
                </c:pt>
              </c:strCache>
            </c:strRef>
          </c:tx>
          <c:invertIfNegative val="0"/>
          <c:cat>
            <c:strRef>
              <c:f>Inputs!$BW$4:$BW$81</c:f>
              <c:strCache>
                <c:ptCount val="78"/>
                <c:pt idx="0">
                  <c:v>Far North District</c:v>
                </c:pt>
                <c:pt idx="1">
                  <c:v>Kaipara District</c:v>
                </c:pt>
                <c:pt idx="2">
                  <c:v>Whangarei District</c:v>
                </c:pt>
                <c:pt idx="3">
                  <c:v>Auckland</c:v>
                </c:pt>
                <c:pt idx="4">
                  <c:v>Hamilton City</c:v>
                </c:pt>
                <c:pt idx="5">
                  <c:v>Hauraki District</c:v>
                </c:pt>
                <c:pt idx="6">
                  <c:v>Matamata-Piako District</c:v>
                </c:pt>
                <c:pt idx="7">
                  <c:v>Otorohanga District</c:v>
                </c:pt>
                <c:pt idx="8">
                  <c:v>South Waikato District</c:v>
                </c:pt>
                <c:pt idx="9">
                  <c:v>Taupo District</c:v>
                </c:pt>
                <c:pt idx="10">
                  <c:v>Thames-Coromandel District</c:v>
                </c:pt>
                <c:pt idx="11">
                  <c:v>Waikato District</c:v>
                </c:pt>
                <c:pt idx="12">
                  <c:v>Waipa District</c:v>
                </c:pt>
                <c:pt idx="13">
                  <c:v>Waitomo District</c:v>
                </c:pt>
                <c:pt idx="14">
                  <c:v>Kawerau District</c:v>
                </c:pt>
                <c:pt idx="15">
                  <c:v>Opotiki District</c:v>
                </c:pt>
                <c:pt idx="16">
                  <c:v>Rotorua District</c:v>
                </c:pt>
                <c:pt idx="17">
                  <c:v>Tauranga City</c:v>
                </c:pt>
                <c:pt idx="18">
                  <c:v>Western Bay of Plenty District</c:v>
                </c:pt>
                <c:pt idx="19">
                  <c:v>Whakatane District</c:v>
                </c:pt>
                <c:pt idx="20">
                  <c:v>Gisborne District</c:v>
                </c:pt>
                <c:pt idx="21">
                  <c:v>Central Hawke's Bay District</c:v>
                </c:pt>
                <c:pt idx="22">
                  <c:v>Hastings District</c:v>
                </c:pt>
                <c:pt idx="23">
                  <c:v>Napier City</c:v>
                </c:pt>
                <c:pt idx="24">
                  <c:v>Wairoa District</c:v>
                </c:pt>
                <c:pt idx="25">
                  <c:v>New Plymouth District</c:v>
                </c:pt>
                <c:pt idx="26">
                  <c:v>South Taranaki District</c:v>
                </c:pt>
                <c:pt idx="27">
                  <c:v>Stratford District</c:v>
                </c:pt>
                <c:pt idx="28">
                  <c:v>Horowhenua District</c:v>
                </c:pt>
                <c:pt idx="29">
                  <c:v>Manawatu District</c:v>
                </c:pt>
                <c:pt idx="30">
                  <c:v>Palmerston North City</c:v>
                </c:pt>
                <c:pt idx="31">
                  <c:v>Rangitikei District</c:v>
                </c:pt>
                <c:pt idx="32">
                  <c:v>Ruapehu District</c:v>
                </c:pt>
                <c:pt idx="33">
                  <c:v>Tararua District</c:v>
                </c:pt>
                <c:pt idx="34">
                  <c:v>Wanganui District</c:v>
                </c:pt>
                <c:pt idx="35">
                  <c:v>Carterton District</c:v>
                </c:pt>
                <c:pt idx="36">
                  <c:v>Kapiti Coast District</c:v>
                </c:pt>
                <c:pt idx="37">
                  <c:v>Lower Hutt City</c:v>
                </c:pt>
                <c:pt idx="38">
                  <c:v>Masterton District</c:v>
                </c:pt>
                <c:pt idx="39">
                  <c:v>Porirua City</c:v>
                </c:pt>
                <c:pt idx="40">
                  <c:v>South Wairarapa District</c:v>
                </c:pt>
                <c:pt idx="41">
                  <c:v>Upper Hutt City</c:v>
                </c:pt>
                <c:pt idx="42">
                  <c:v>Wellington City</c:v>
                </c:pt>
                <c:pt idx="43">
                  <c:v>Kaikoura District</c:v>
                </c:pt>
                <c:pt idx="44">
                  <c:v>Marlborough District</c:v>
                </c:pt>
                <c:pt idx="45">
                  <c:v>Nelson City</c:v>
                </c:pt>
                <c:pt idx="46">
                  <c:v>Tasman District</c:v>
                </c:pt>
                <c:pt idx="47">
                  <c:v>Ashburton District</c:v>
                </c:pt>
                <c:pt idx="48">
                  <c:v>Christchurch City</c:v>
                </c:pt>
                <c:pt idx="49">
                  <c:v>Hurunui District</c:v>
                </c:pt>
                <c:pt idx="50">
                  <c:v>Mackenzie District</c:v>
                </c:pt>
                <c:pt idx="51">
                  <c:v>Selwyn District</c:v>
                </c:pt>
                <c:pt idx="52">
                  <c:v>Timaru District</c:v>
                </c:pt>
                <c:pt idx="53">
                  <c:v>Waimakariri District</c:v>
                </c:pt>
                <c:pt idx="54">
                  <c:v>Waimate District</c:v>
                </c:pt>
                <c:pt idx="55">
                  <c:v>Buller District</c:v>
                </c:pt>
                <c:pt idx="56">
                  <c:v>Grey District</c:v>
                </c:pt>
                <c:pt idx="57">
                  <c:v>Westland District</c:v>
                </c:pt>
                <c:pt idx="58">
                  <c:v>Central Otago District</c:v>
                </c:pt>
                <c:pt idx="59">
                  <c:v>Clutha District</c:v>
                </c:pt>
                <c:pt idx="60">
                  <c:v>Dunedin City</c:v>
                </c:pt>
                <c:pt idx="61">
                  <c:v>Queenstown-Lakes District</c:v>
                </c:pt>
                <c:pt idx="62">
                  <c:v>Waitaki District</c:v>
                </c:pt>
                <c:pt idx="63">
                  <c:v>Gore District</c:v>
                </c:pt>
                <c:pt idx="64">
                  <c:v>Invercargill City</c:v>
                </c:pt>
                <c:pt idx="65">
                  <c:v>Southland District</c:v>
                </c:pt>
                <c:pt idx="66">
                  <c:v>Chatham Islands Territory</c:v>
                </c:pt>
                <c:pt idx="67">
                  <c:v>Northland Regional</c:v>
                </c:pt>
                <c:pt idx="68">
                  <c:v>Waikato Regional</c:v>
                </c:pt>
                <c:pt idx="69">
                  <c:v>Bay of Plenty Regional</c:v>
                </c:pt>
                <c:pt idx="70">
                  <c:v>Hawkes Bay Regional</c:v>
                </c:pt>
                <c:pt idx="71">
                  <c:v>Taranaki Regional</c:v>
                </c:pt>
                <c:pt idx="72">
                  <c:v>Manawatu-Wanganui Regional</c:v>
                </c:pt>
                <c:pt idx="73">
                  <c:v>Wellington Regional</c:v>
                </c:pt>
                <c:pt idx="74">
                  <c:v>West Coast Regional</c:v>
                </c:pt>
                <c:pt idx="75">
                  <c:v>Canterbury Regional</c:v>
                </c:pt>
                <c:pt idx="76">
                  <c:v>Otago Regional</c:v>
                </c:pt>
                <c:pt idx="77">
                  <c:v>Southland Regional</c:v>
                </c:pt>
              </c:strCache>
            </c:strRef>
          </c:cat>
          <c:val>
            <c:numRef>
              <c:f>Inputs!$BY$4:$BY$81</c:f>
              <c:numCache>
                <c:formatCode>0%</c:formatCode>
                <c:ptCount val="78"/>
                <c:pt idx="0">
                  <c:v>0.14729458517965308</c:v>
                </c:pt>
                <c:pt idx="1">
                  <c:v>0.22026280191894487</c:v>
                </c:pt>
                <c:pt idx="2">
                  <c:v>0.22596302728873877</c:v>
                </c:pt>
                <c:pt idx="3">
                  <c:v>0.44196585252159165</c:v>
                </c:pt>
                <c:pt idx="4">
                  <c:v>0.43986615397987544</c:v>
                </c:pt>
                <c:pt idx="5">
                  <c:v>0.24339978992542868</c:v>
                </c:pt>
                <c:pt idx="6">
                  <c:v>0.26332579854931093</c:v>
                </c:pt>
                <c:pt idx="7">
                  <c:v>0.12153411740793628</c:v>
                </c:pt>
                <c:pt idx="8">
                  <c:v>0.45777872925468954</c:v>
                </c:pt>
                <c:pt idx="9">
                  <c:v>9.650561291223389E-2</c:v>
                </c:pt>
                <c:pt idx="10">
                  <c:v>0.20841938892740317</c:v>
                </c:pt>
                <c:pt idx="11">
                  <c:v>0.30090918615546142</c:v>
                </c:pt>
                <c:pt idx="12">
                  <c:v>0.2377578231183422</c:v>
                </c:pt>
                <c:pt idx="13">
                  <c:v>4.577916488159843E-2</c:v>
                </c:pt>
                <c:pt idx="14">
                  <c:v>0.38500897792248429</c:v>
                </c:pt>
                <c:pt idx="15">
                  <c:v>0.16408216358647212</c:v>
                </c:pt>
                <c:pt idx="16">
                  <c:v>0.24462866152770679</c:v>
                </c:pt>
                <c:pt idx="17">
                  <c:v>0.44366289184456398</c:v>
                </c:pt>
                <c:pt idx="18">
                  <c:v>0.48610317615120996</c:v>
                </c:pt>
                <c:pt idx="19">
                  <c:v>0.15856006342340356</c:v>
                </c:pt>
                <c:pt idx="20">
                  <c:v>0.11543337048179339</c:v>
                </c:pt>
                <c:pt idx="21">
                  <c:v>0.10137483069958649</c:v>
                </c:pt>
                <c:pt idx="22">
                  <c:v>0.18469020386260501</c:v>
                </c:pt>
                <c:pt idx="23">
                  <c:v>0.22402499282941313</c:v>
                </c:pt>
                <c:pt idx="24">
                  <c:v>0.12305911242416093</c:v>
                </c:pt>
                <c:pt idx="25">
                  <c:v>0.15294873781397919</c:v>
                </c:pt>
                <c:pt idx="26">
                  <c:v>0.28198420766347831</c:v>
                </c:pt>
                <c:pt idx="27">
                  <c:v>7.9329461117692956E-2</c:v>
                </c:pt>
                <c:pt idx="28">
                  <c:v>0.17366085863859509</c:v>
                </c:pt>
                <c:pt idx="29">
                  <c:v>0.14562230823548902</c:v>
                </c:pt>
                <c:pt idx="30">
                  <c:v>0.13250475663876329</c:v>
                </c:pt>
                <c:pt idx="31">
                  <c:v>0.10208935088637318</c:v>
                </c:pt>
                <c:pt idx="32">
                  <c:v>0.10067828282759357</c:v>
                </c:pt>
                <c:pt idx="33">
                  <c:v>8.3578110370030947E-2</c:v>
                </c:pt>
                <c:pt idx="34">
                  <c:v>9.5542234812317911E-2</c:v>
                </c:pt>
                <c:pt idx="35">
                  <c:v>0.13315306147831138</c:v>
                </c:pt>
                <c:pt idx="36">
                  <c:v>0.20180067491272669</c:v>
                </c:pt>
                <c:pt idx="37">
                  <c:v>0.1888879073271231</c:v>
                </c:pt>
                <c:pt idx="38">
                  <c:v>9.5002850810329595E-2</c:v>
                </c:pt>
                <c:pt idx="39">
                  <c:v>0.19812091994959719</c:v>
                </c:pt>
                <c:pt idx="40">
                  <c:v>0.12042830000557465</c:v>
                </c:pt>
                <c:pt idx="41">
                  <c:v>0.15337066820765877</c:v>
                </c:pt>
                <c:pt idx="42">
                  <c:v>0.22385747336633841</c:v>
                </c:pt>
                <c:pt idx="43">
                  <c:v>6.6593203442214963E-2</c:v>
                </c:pt>
                <c:pt idx="44">
                  <c:v>0.15255655281331693</c:v>
                </c:pt>
                <c:pt idx="45">
                  <c:v>0.15834855651027868</c:v>
                </c:pt>
                <c:pt idx="46">
                  <c:v>0.1279637682531484</c:v>
                </c:pt>
                <c:pt idx="47">
                  <c:v>8.690263310756359E-2</c:v>
                </c:pt>
                <c:pt idx="48">
                  <c:v>0.11141788708973654</c:v>
                </c:pt>
                <c:pt idx="49">
                  <c:v>0.11634205472409591</c:v>
                </c:pt>
                <c:pt idx="50">
                  <c:v>0.1621260955611539</c:v>
                </c:pt>
                <c:pt idx="51">
                  <c:v>0.15593034032812433</c:v>
                </c:pt>
                <c:pt idx="52">
                  <c:v>0.17534282415529306</c:v>
                </c:pt>
                <c:pt idx="53">
                  <c:v>0.14163680511712695</c:v>
                </c:pt>
                <c:pt idx="54">
                  <c:v>0.1782358651846111</c:v>
                </c:pt>
                <c:pt idx="55">
                  <c:v>-8.0848552481819574E-2</c:v>
                </c:pt>
                <c:pt idx="56">
                  <c:v>-2.0267803608140806E-2</c:v>
                </c:pt>
                <c:pt idx="57">
                  <c:v>-6.4038528972818675E-3</c:v>
                </c:pt>
                <c:pt idx="58">
                  <c:v>0.24967463013209645</c:v>
                </c:pt>
                <c:pt idx="59">
                  <c:v>9.7176565711251162E-2</c:v>
                </c:pt>
                <c:pt idx="60">
                  <c:v>0.11969827494412456</c:v>
                </c:pt>
                <c:pt idx="61">
                  <c:v>0.52455967385543212</c:v>
                </c:pt>
                <c:pt idx="62">
                  <c:v>9.6795232552887037E-2</c:v>
                </c:pt>
                <c:pt idx="63">
                  <c:v>2.26018387926827E-2</c:v>
                </c:pt>
                <c:pt idx="64">
                  <c:v>8.9814578272529394E-2</c:v>
                </c:pt>
                <c:pt idx="65">
                  <c:v>-7.1996015565357766E-3</c:v>
                </c:pt>
                <c:pt idx="66">
                  <c:v>0.16754166330458653</c:v>
                </c:pt>
                <c:pt idx="67">
                  <c:v>0.19764858792840651</c:v>
                </c:pt>
                <c:pt idx="68">
                  <c:v>0.15327507810994057</c:v>
                </c:pt>
                <c:pt idx="69">
                  <c:v>0.69716938543383467</c:v>
                </c:pt>
                <c:pt idx="70">
                  <c:v>6.178579034601997E-2</c:v>
                </c:pt>
                <c:pt idx="71">
                  <c:v>0.18434157852612107</c:v>
                </c:pt>
                <c:pt idx="72">
                  <c:v>0.224937193653867</c:v>
                </c:pt>
                <c:pt idx="73">
                  <c:v>0.19816357122622663</c:v>
                </c:pt>
                <c:pt idx="74">
                  <c:v>-3.561949472918581E-2</c:v>
                </c:pt>
                <c:pt idx="75">
                  <c:v>7.6403375465584678E-2</c:v>
                </c:pt>
                <c:pt idx="76">
                  <c:v>0.4219283794195004</c:v>
                </c:pt>
                <c:pt idx="77">
                  <c:v>1.8519533351249621E-2</c:v>
                </c:pt>
              </c:numCache>
            </c:numRef>
          </c:val>
        </c:ser>
        <c:ser>
          <c:idx val="2"/>
          <c:order val="2"/>
          <c:tx>
            <c:strRef>
              <c:f>Inputs!$BZ$3</c:f>
              <c:strCache>
                <c:ptCount val="1"/>
                <c:pt idx="0">
                  <c:v>Rateable Units, 0.2% National Average Change </c:v>
                </c:pt>
              </c:strCache>
            </c:strRef>
          </c:tx>
          <c:invertIfNegative val="0"/>
          <c:cat>
            <c:strRef>
              <c:f>Inputs!$BW$4:$BW$81</c:f>
              <c:strCache>
                <c:ptCount val="78"/>
                <c:pt idx="0">
                  <c:v>Far North District</c:v>
                </c:pt>
                <c:pt idx="1">
                  <c:v>Kaipara District</c:v>
                </c:pt>
                <c:pt idx="2">
                  <c:v>Whangarei District</c:v>
                </c:pt>
                <c:pt idx="3">
                  <c:v>Auckland</c:v>
                </c:pt>
                <c:pt idx="4">
                  <c:v>Hamilton City</c:v>
                </c:pt>
                <c:pt idx="5">
                  <c:v>Hauraki District</c:v>
                </c:pt>
                <c:pt idx="6">
                  <c:v>Matamata-Piako District</c:v>
                </c:pt>
                <c:pt idx="7">
                  <c:v>Otorohanga District</c:v>
                </c:pt>
                <c:pt idx="8">
                  <c:v>South Waikato District</c:v>
                </c:pt>
                <c:pt idx="9">
                  <c:v>Taupo District</c:v>
                </c:pt>
                <c:pt idx="10">
                  <c:v>Thames-Coromandel District</c:v>
                </c:pt>
                <c:pt idx="11">
                  <c:v>Waikato District</c:v>
                </c:pt>
                <c:pt idx="12">
                  <c:v>Waipa District</c:v>
                </c:pt>
                <c:pt idx="13">
                  <c:v>Waitomo District</c:v>
                </c:pt>
                <c:pt idx="14">
                  <c:v>Kawerau District</c:v>
                </c:pt>
                <c:pt idx="15">
                  <c:v>Opotiki District</c:v>
                </c:pt>
                <c:pt idx="16">
                  <c:v>Rotorua District</c:v>
                </c:pt>
                <c:pt idx="17">
                  <c:v>Tauranga City</c:v>
                </c:pt>
                <c:pt idx="18">
                  <c:v>Western Bay of Plenty District</c:v>
                </c:pt>
                <c:pt idx="19">
                  <c:v>Whakatane District</c:v>
                </c:pt>
                <c:pt idx="20">
                  <c:v>Gisborne District</c:v>
                </c:pt>
                <c:pt idx="21">
                  <c:v>Central Hawke's Bay District</c:v>
                </c:pt>
                <c:pt idx="22">
                  <c:v>Hastings District</c:v>
                </c:pt>
                <c:pt idx="23">
                  <c:v>Napier City</c:v>
                </c:pt>
                <c:pt idx="24">
                  <c:v>Wairoa District</c:v>
                </c:pt>
                <c:pt idx="25">
                  <c:v>New Plymouth District</c:v>
                </c:pt>
                <c:pt idx="26">
                  <c:v>South Taranaki District</c:v>
                </c:pt>
                <c:pt idx="27">
                  <c:v>Stratford District</c:v>
                </c:pt>
                <c:pt idx="28">
                  <c:v>Horowhenua District</c:v>
                </c:pt>
                <c:pt idx="29">
                  <c:v>Manawatu District</c:v>
                </c:pt>
                <c:pt idx="30">
                  <c:v>Palmerston North City</c:v>
                </c:pt>
                <c:pt idx="31">
                  <c:v>Rangitikei District</c:v>
                </c:pt>
                <c:pt idx="32">
                  <c:v>Ruapehu District</c:v>
                </c:pt>
                <c:pt idx="33">
                  <c:v>Tararua District</c:v>
                </c:pt>
                <c:pt idx="34">
                  <c:v>Wanganui District</c:v>
                </c:pt>
                <c:pt idx="35">
                  <c:v>Carterton District</c:v>
                </c:pt>
                <c:pt idx="36">
                  <c:v>Kapiti Coast District</c:v>
                </c:pt>
                <c:pt idx="37">
                  <c:v>Lower Hutt City</c:v>
                </c:pt>
                <c:pt idx="38">
                  <c:v>Masterton District</c:v>
                </c:pt>
                <c:pt idx="39">
                  <c:v>Porirua City</c:v>
                </c:pt>
                <c:pt idx="40">
                  <c:v>South Wairarapa District</c:v>
                </c:pt>
                <c:pt idx="41">
                  <c:v>Upper Hutt City</c:v>
                </c:pt>
                <c:pt idx="42">
                  <c:v>Wellington City</c:v>
                </c:pt>
                <c:pt idx="43">
                  <c:v>Kaikoura District</c:v>
                </c:pt>
                <c:pt idx="44">
                  <c:v>Marlborough District</c:v>
                </c:pt>
                <c:pt idx="45">
                  <c:v>Nelson City</c:v>
                </c:pt>
                <c:pt idx="46">
                  <c:v>Tasman District</c:v>
                </c:pt>
                <c:pt idx="47">
                  <c:v>Ashburton District</c:v>
                </c:pt>
                <c:pt idx="48">
                  <c:v>Christchurch City</c:v>
                </c:pt>
                <c:pt idx="49">
                  <c:v>Hurunui District</c:v>
                </c:pt>
                <c:pt idx="50">
                  <c:v>Mackenzie District</c:v>
                </c:pt>
                <c:pt idx="51">
                  <c:v>Selwyn District</c:v>
                </c:pt>
                <c:pt idx="52">
                  <c:v>Timaru District</c:v>
                </c:pt>
                <c:pt idx="53">
                  <c:v>Waimakariri District</c:v>
                </c:pt>
                <c:pt idx="54">
                  <c:v>Waimate District</c:v>
                </c:pt>
                <c:pt idx="55">
                  <c:v>Buller District</c:v>
                </c:pt>
                <c:pt idx="56">
                  <c:v>Grey District</c:v>
                </c:pt>
                <c:pt idx="57">
                  <c:v>Westland District</c:v>
                </c:pt>
                <c:pt idx="58">
                  <c:v>Central Otago District</c:v>
                </c:pt>
                <c:pt idx="59">
                  <c:v>Clutha District</c:v>
                </c:pt>
                <c:pt idx="60">
                  <c:v>Dunedin City</c:v>
                </c:pt>
                <c:pt idx="61">
                  <c:v>Queenstown-Lakes District</c:v>
                </c:pt>
                <c:pt idx="62">
                  <c:v>Waitaki District</c:v>
                </c:pt>
                <c:pt idx="63">
                  <c:v>Gore District</c:v>
                </c:pt>
                <c:pt idx="64">
                  <c:v>Invercargill City</c:v>
                </c:pt>
                <c:pt idx="65">
                  <c:v>Southland District</c:v>
                </c:pt>
                <c:pt idx="66">
                  <c:v>Chatham Islands Territory</c:v>
                </c:pt>
                <c:pt idx="67">
                  <c:v>Northland Regional</c:v>
                </c:pt>
                <c:pt idx="68">
                  <c:v>Waikato Regional</c:v>
                </c:pt>
                <c:pt idx="69">
                  <c:v>Bay of Plenty Regional</c:v>
                </c:pt>
                <c:pt idx="70">
                  <c:v>Hawkes Bay Regional</c:v>
                </c:pt>
                <c:pt idx="71">
                  <c:v>Taranaki Regional</c:v>
                </c:pt>
                <c:pt idx="72">
                  <c:v>Manawatu-Wanganui Regional</c:v>
                </c:pt>
                <c:pt idx="73">
                  <c:v>Wellington Regional</c:v>
                </c:pt>
                <c:pt idx="74">
                  <c:v>West Coast Regional</c:v>
                </c:pt>
                <c:pt idx="75">
                  <c:v>Canterbury Regional</c:v>
                </c:pt>
                <c:pt idx="76">
                  <c:v>Otago Regional</c:v>
                </c:pt>
                <c:pt idx="77">
                  <c:v>Southland Regional</c:v>
                </c:pt>
              </c:strCache>
            </c:strRef>
          </c:cat>
          <c:val>
            <c:numRef>
              <c:f>Inputs!$BZ$4:$BZ$81</c:f>
              <c:numCache>
                <c:formatCode>0%</c:formatCode>
                <c:ptCount val="78"/>
                <c:pt idx="0">
                  <c:v>-2.4206414699895471E-3</c:v>
                </c:pt>
                <c:pt idx="1">
                  <c:v>2.0571186201046233E-2</c:v>
                </c:pt>
                <c:pt idx="2">
                  <c:v>1.4774533174413984E-2</c:v>
                </c:pt>
                <c:pt idx="3">
                  <c:v>2.3079476895718772E-2</c:v>
                </c:pt>
                <c:pt idx="4">
                  <c:v>3.0433611634796659E-2</c:v>
                </c:pt>
                <c:pt idx="5">
                  <c:v>-1.7596371882086168E-2</c:v>
                </c:pt>
                <c:pt idx="6">
                  <c:v>-4.6389254310046386E-3</c:v>
                </c:pt>
                <c:pt idx="7">
                  <c:v>-5.1419800460475826E-2</c:v>
                </c:pt>
                <c:pt idx="8">
                  <c:v>-1.1846001974333662E-2</c:v>
                </c:pt>
                <c:pt idx="9">
                  <c:v>-1.3158475736300614E-2</c:v>
                </c:pt>
                <c:pt idx="10">
                  <c:v>8.561263064265065E-3</c:v>
                </c:pt>
                <c:pt idx="11">
                  <c:v>2.2403531064000535E-2</c:v>
                </c:pt>
                <c:pt idx="12">
                  <c:v>1.4303030303030304E-2</c:v>
                </c:pt>
                <c:pt idx="13">
                  <c:v>-3.9634671721523351E-2</c:v>
                </c:pt>
                <c:pt idx="14">
                  <c:v>1.0355540214014498E-3</c:v>
                </c:pt>
                <c:pt idx="15">
                  <c:v>-4.8274629000536386E-3</c:v>
                </c:pt>
                <c:pt idx="16">
                  <c:v>2.6558616227995505E-3</c:v>
                </c:pt>
                <c:pt idx="17">
                  <c:v>4.0783564261825132E-2</c:v>
                </c:pt>
                <c:pt idx="18">
                  <c:v>2.3018016024080386E-2</c:v>
                </c:pt>
                <c:pt idx="19">
                  <c:v>-6.199784905421649E-3</c:v>
                </c:pt>
                <c:pt idx="20">
                  <c:v>2.9911109238741204E-3</c:v>
                </c:pt>
                <c:pt idx="21">
                  <c:v>-4.5424879258582428E-2</c:v>
                </c:pt>
                <c:pt idx="22">
                  <c:v>2.2499755437440897E-3</c:v>
                </c:pt>
                <c:pt idx="23">
                  <c:v>9.1262058199575707E-3</c:v>
                </c:pt>
                <c:pt idx="24">
                  <c:v>-1.4141113426615065E-2</c:v>
                </c:pt>
                <c:pt idx="25">
                  <c:v>-6.0380598082701385E-3</c:v>
                </c:pt>
                <c:pt idx="26">
                  <c:v>-4.9633957955537648E-2</c:v>
                </c:pt>
                <c:pt idx="27">
                  <c:v>3.4315704481227291E-3</c:v>
                </c:pt>
                <c:pt idx="28">
                  <c:v>-7.0990458882326211E-3</c:v>
                </c:pt>
                <c:pt idx="29">
                  <c:v>-2.2927180966113916E-2</c:v>
                </c:pt>
                <c:pt idx="30">
                  <c:v>8.0546588522894657E-3</c:v>
                </c:pt>
                <c:pt idx="31">
                  <c:v>-5.3071310896681573E-2</c:v>
                </c:pt>
                <c:pt idx="32">
                  <c:v>1.7847183491355272E-3</c:v>
                </c:pt>
                <c:pt idx="33">
                  <c:v>-1.4255101090095966E-2</c:v>
                </c:pt>
                <c:pt idx="34">
                  <c:v>-5.2120690479605988E-3</c:v>
                </c:pt>
                <c:pt idx="35">
                  <c:v>1.145374449339207E-2</c:v>
                </c:pt>
                <c:pt idx="36">
                  <c:v>1.0920885166481915E-2</c:v>
                </c:pt>
                <c:pt idx="37">
                  <c:v>7.2618322161283767E-3</c:v>
                </c:pt>
                <c:pt idx="38">
                  <c:v>1.0632207409830702E-3</c:v>
                </c:pt>
                <c:pt idx="39">
                  <c:v>1.8735879208684632E-2</c:v>
                </c:pt>
                <c:pt idx="40">
                  <c:v>-4.1215081666921083E-3</c:v>
                </c:pt>
                <c:pt idx="41">
                  <c:v>1.0212145158349036E-2</c:v>
                </c:pt>
                <c:pt idx="42">
                  <c:v>1.4967308247774598E-2</c:v>
                </c:pt>
                <c:pt idx="43">
                  <c:v>-1.6722408026755852E-2</c:v>
                </c:pt>
                <c:pt idx="44">
                  <c:v>1.3194953509008836E-2</c:v>
                </c:pt>
                <c:pt idx="45">
                  <c:v>1.2800000000000001E-2</c:v>
                </c:pt>
                <c:pt idx="46">
                  <c:v>3.5036117479129722E-3</c:v>
                </c:pt>
                <c:pt idx="47">
                  <c:v>-1.523797172869926E-2</c:v>
                </c:pt>
                <c:pt idx="48">
                  <c:v>2.6297954737988623E-2</c:v>
                </c:pt>
                <c:pt idx="49">
                  <c:v>-1.4494564538298138E-2</c:v>
                </c:pt>
                <c:pt idx="50">
                  <c:v>8.8980150581793298E-3</c:v>
                </c:pt>
                <c:pt idx="51">
                  <c:v>0.1072193758733116</c:v>
                </c:pt>
                <c:pt idx="52">
                  <c:v>8.5458304617505171E-3</c:v>
                </c:pt>
                <c:pt idx="53">
                  <c:v>4.8758939840134623E-2</c:v>
                </c:pt>
                <c:pt idx="54">
                  <c:v>-4.1301907968574636E-2</c:v>
                </c:pt>
                <c:pt idx="55">
                  <c:v>-5.296034763715372E-3</c:v>
                </c:pt>
                <c:pt idx="56">
                  <c:v>-6.4335009942683352E-3</c:v>
                </c:pt>
                <c:pt idx="57">
                  <c:v>9.3889487455748807E-3</c:v>
                </c:pt>
                <c:pt idx="58">
                  <c:v>-1.3082583810302535E-2</c:v>
                </c:pt>
                <c:pt idx="59">
                  <c:v>-4.6655002915937686E-3</c:v>
                </c:pt>
                <c:pt idx="60">
                  <c:v>3.6369740376007162E-3</c:v>
                </c:pt>
                <c:pt idx="61">
                  <c:v>5.0306035830764421E-2</c:v>
                </c:pt>
                <c:pt idx="62">
                  <c:v>-2.9933793492041134E-2</c:v>
                </c:pt>
                <c:pt idx="63">
                  <c:v>-5.2426904796197611E-2</c:v>
                </c:pt>
                <c:pt idx="64">
                  <c:v>-1.4273819436184131E-3</c:v>
                </c:pt>
                <c:pt idx="65">
                  <c:v>-9.498630005287699E-2</c:v>
                </c:pt>
                <c:pt idx="66">
                  <c:v>-3.5778175313059034E-3</c:v>
                </c:pt>
                <c:pt idx="67">
                  <c:v>8.791257215881549E-3</c:v>
                </c:pt>
                <c:pt idx="68">
                  <c:v>-0.11928639518282241</c:v>
                </c:pt>
                <c:pt idx="69">
                  <c:v>0.32232671121728002</c:v>
                </c:pt>
                <c:pt idx="70">
                  <c:v>-0.11007678887516395</c:v>
                </c:pt>
                <c:pt idx="71">
                  <c:v>-1.7029276483901585E-2</c:v>
                </c:pt>
                <c:pt idx="72">
                  <c:v>7.3223970152698187E-2</c:v>
                </c:pt>
                <c:pt idx="73">
                  <c:v>1.1313143567734793E-2</c:v>
                </c:pt>
                <c:pt idx="74">
                  <c:v>-1.4725568942436412E-3</c:v>
                </c:pt>
                <c:pt idx="75">
                  <c:v>-2.3963850118559116E-2</c:v>
                </c:pt>
                <c:pt idx="76">
                  <c:v>0.14648859100093636</c:v>
                </c:pt>
                <c:pt idx="77">
                  <c:v>-4.4858119206298258E-2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8213376"/>
        <c:axId val="88214912"/>
      </c:barChart>
      <c:catAx>
        <c:axId val="88213376"/>
        <c:scaling>
          <c:orientation val="maxMin"/>
        </c:scaling>
        <c:delete val="0"/>
        <c:axPos val="l"/>
        <c:majorGridlines/>
        <c:majorTickMark val="out"/>
        <c:minorTickMark val="none"/>
        <c:tickLblPos val="low"/>
        <c:crossAx val="88214912"/>
        <c:crossesAt val="0"/>
        <c:auto val="1"/>
        <c:lblAlgn val="ctr"/>
        <c:lblOffset val="100"/>
        <c:tickLblSkip val="1"/>
        <c:noMultiLvlLbl val="0"/>
      </c:catAx>
      <c:valAx>
        <c:axId val="88214912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high"/>
        <c:crossAx val="882133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2020338334736391"/>
          <c:y val="0.42034209891610108"/>
          <c:w val="0.34158904186125472"/>
          <c:h val="0.11334839909302723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85725</xdr:colOff>
      <xdr:row>49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34200" cy="933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0</xdr:row>
      <xdr:rowOff>0</xdr:rowOff>
    </xdr:from>
    <xdr:to>
      <xdr:col>9</xdr:col>
      <xdr:colOff>361950</xdr:colOff>
      <xdr:row>50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338138</xdr:colOff>
      <xdr:row>2</xdr:row>
      <xdr:rowOff>1</xdr:rowOff>
    </xdr:from>
    <xdr:to>
      <xdr:col>12</xdr:col>
      <xdr:colOff>90488</xdr:colOff>
      <xdr:row>50</xdr:row>
      <xdr:rowOff>57151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600076</xdr:colOff>
      <xdr:row>0</xdr:row>
      <xdr:rowOff>52388</xdr:rowOff>
    </xdr:from>
    <xdr:to>
      <xdr:col>15</xdr:col>
      <xdr:colOff>209550</xdr:colOff>
      <xdr:row>50</xdr:row>
      <xdr:rowOff>80964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0.08405</cdr:x>
      <cdr:y>0.01574</cdr:y>
    </cdr:from>
    <cdr:to>
      <cdr:x>0.11448</cdr:x>
      <cdr:y>0.02263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84135" y="157891"/>
          <a:ext cx="66665" cy="6910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0.11014</cdr:x>
      <cdr:y>0.00633</cdr:y>
    </cdr:from>
    <cdr:to>
      <cdr:x>0.46461</cdr:x>
      <cdr:y>0.03204</cdr:y>
    </cdr:to>
    <cdr:sp macro="" textlink="">
      <cdr:nvSpPr>
        <cdr:cNvPr id="3" name="TextBox 7"/>
        <cdr:cNvSpPr txBox="1"/>
      </cdr:nvSpPr>
      <cdr:spPr>
        <a:xfrm xmlns:a="http://schemas.openxmlformats.org/drawingml/2006/main">
          <a:off x="241285" y="63510"/>
          <a:ext cx="776555" cy="257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Local Share</a:t>
          </a:r>
        </a:p>
      </cdr:txBody>
    </cdr:sp>
  </cdr:relSizeAnchor>
  <cdr:relSizeAnchor xmlns:cdr="http://schemas.openxmlformats.org/drawingml/2006/chartDrawing">
    <cdr:from>
      <cdr:x>0.47536</cdr:x>
      <cdr:y>0.01574</cdr:y>
    </cdr:from>
    <cdr:to>
      <cdr:x>0.50579</cdr:x>
      <cdr:y>0.02263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1041401" y="157891"/>
          <a:ext cx="66665" cy="6910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0.50797</cdr:x>
      <cdr:y>0.00633</cdr:y>
    </cdr:from>
    <cdr:to>
      <cdr:x>0.8087</cdr:x>
      <cdr:y>0.03204</cdr:y>
    </cdr:to>
    <cdr:sp macro="" textlink="">
      <cdr:nvSpPr>
        <cdr:cNvPr id="5" name="TextBox 7"/>
        <cdr:cNvSpPr txBox="1"/>
      </cdr:nvSpPr>
      <cdr:spPr>
        <a:xfrm xmlns:a="http://schemas.openxmlformats.org/drawingml/2006/main">
          <a:off x="1112837" y="63510"/>
          <a:ext cx="658813" cy="257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Increase</a:t>
          </a:r>
        </a:p>
      </cdr:txBody>
    </cdr:sp>
  </cdr:relSizeAnchor>
  <cdr:relSizeAnchor xmlns:cdr="http://schemas.openxmlformats.org/drawingml/2006/chartDrawing">
    <cdr:from>
      <cdr:x>0.47536</cdr:x>
      <cdr:y>0.03545</cdr:y>
    </cdr:from>
    <cdr:to>
      <cdr:x>0.50579</cdr:x>
      <cdr:y>0.04234</cdr:y>
    </cdr:to>
    <cdr:sp macro="" textlink="">
      <cdr:nvSpPr>
        <cdr:cNvPr id="6" name="Rectangle 5"/>
        <cdr:cNvSpPr/>
      </cdr:nvSpPr>
      <cdr:spPr>
        <a:xfrm xmlns:a="http://schemas.openxmlformats.org/drawingml/2006/main">
          <a:off x="1041401" y="355601"/>
          <a:ext cx="66665" cy="69105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>
            <a:shade val="50000"/>
          </a:schemeClr>
        </a:lnRef>
        <a:fillRef xmlns:a="http://schemas.openxmlformats.org/drawingml/2006/main" idx="1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0.50797</cdr:x>
      <cdr:y>0.02691</cdr:y>
    </cdr:from>
    <cdr:to>
      <cdr:x>0.8087</cdr:x>
      <cdr:y>0.05262</cdr:y>
    </cdr:to>
    <cdr:sp macro="" textlink="">
      <cdr:nvSpPr>
        <cdr:cNvPr id="7" name="TextBox 7"/>
        <cdr:cNvSpPr txBox="1"/>
      </cdr:nvSpPr>
      <cdr:spPr>
        <a:xfrm xmlns:a="http://schemas.openxmlformats.org/drawingml/2006/main">
          <a:off x="1112837" y="269875"/>
          <a:ext cx="658813" cy="257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Decrease</a:t>
          </a:r>
        </a:p>
      </cdr:txBody>
    </cdr:sp>
  </cdr:relSizeAnchor>
  <cdr:relSizeAnchor xmlns:cdr="http://schemas.openxmlformats.org/drawingml/2006/chartDrawing">
    <cdr:from>
      <cdr:x>0.08841</cdr:x>
      <cdr:y>0.03599</cdr:y>
    </cdr:from>
    <cdr:to>
      <cdr:x>0.11884</cdr:x>
      <cdr:y>0.04264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93675" y="360963"/>
          <a:ext cx="66675" cy="666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NZ" sz="1100"/>
        </a:p>
      </cdr:txBody>
    </cdr:sp>
  </cdr:relSizeAnchor>
  <cdr:relSizeAnchor xmlns:cdr="http://schemas.openxmlformats.org/drawingml/2006/chartDrawing">
    <cdr:from>
      <cdr:x>0.11014</cdr:x>
      <cdr:y>0.02596</cdr:y>
    </cdr:from>
    <cdr:to>
      <cdr:x>0.31227</cdr:x>
      <cdr:y>0.05077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241285" y="260350"/>
          <a:ext cx="442814" cy="248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000"/>
            <a:t>NLTF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7051" cy="6073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055" cy="60782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L2:L34"/>
  <sheetViews>
    <sheetView zoomScaleNormal="100" workbookViewId="0">
      <selection activeCell="L12" sqref="L12"/>
    </sheetView>
  </sheetViews>
  <sheetFormatPr defaultRowHeight="15" x14ac:dyDescent="0.2"/>
  <cols>
    <col min="1" max="10" width="9.140625" style="83"/>
    <col min="11" max="11" width="11.28515625" style="83" customWidth="1"/>
    <col min="12" max="12" width="47.42578125" style="83" bestFit="1" customWidth="1"/>
    <col min="13" max="16384" width="9.140625" style="83"/>
  </cols>
  <sheetData>
    <row r="2" spans="12:12" x14ac:dyDescent="0.2">
      <c r="L2" s="84" t="s">
        <v>144</v>
      </c>
    </row>
    <row r="3" spans="12:12" x14ac:dyDescent="0.2">
      <c r="L3" s="83" t="s">
        <v>145</v>
      </c>
    </row>
    <row r="4" spans="12:12" x14ac:dyDescent="0.2">
      <c r="L4" s="83" t="s">
        <v>146</v>
      </c>
    </row>
    <row r="5" spans="12:12" x14ac:dyDescent="0.2">
      <c r="L5" s="83" t="s">
        <v>160</v>
      </c>
    </row>
    <row r="6" spans="12:12" x14ac:dyDescent="0.2">
      <c r="L6" s="83" t="s">
        <v>147</v>
      </c>
    </row>
    <row r="7" spans="12:12" x14ac:dyDescent="0.2">
      <c r="L7" s="83" t="s">
        <v>162</v>
      </c>
    </row>
    <row r="29" spans="12:12" x14ac:dyDescent="0.2">
      <c r="L29" s="84" t="s">
        <v>151</v>
      </c>
    </row>
    <row r="30" spans="12:12" x14ac:dyDescent="0.2">
      <c r="L30" s="84" t="s">
        <v>161</v>
      </c>
    </row>
    <row r="31" spans="12:12" x14ac:dyDescent="0.2">
      <c r="L31" s="84" t="s">
        <v>150</v>
      </c>
    </row>
    <row r="32" spans="12:12" x14ac:dyDescent="0.2">
      <c r="L32" s="84" t="s">
        <v>122</v>
      </c>
    </row>
    <row r="33" spans="12:12" x14ac:dyDescent="0.2">
      <c r="L33" s="83" t="s">
        <v>152</v>
      </c>
    </row>
    <row r="34" spans="12:12" x14ac:dyDescent="0.2">
      <c r="L34" s="83" t="s">
        <v>153</v>
      </c>
    </row>
  </sheetData>
  <sheetProtection sheet="1" objects="1" scenarios="1"/>
  <hyperlinks>
    <hyperlink ref="L2" location="Inputs!C2:N82" display="Inputs"/>
    <hyperlink ref="L3" location="Inputs!C2:C81" display="Local road centreline kilometers"/>
    <hyperlink ref="L4" location="Inputs!D2:D81" display="Net equalised capital value"/>
    <hyperlink ref="L5" location="Inputs!F2:F81" display="Number of rating units"/>
    <hyperlink ref="L6" location="Inputs!F2:F81" display="Index of deprivation"/>
    <hyperlink ref="L29" location="Calculation!B12:B13" display="Maximum FAR"/>
    <hyperlink ref="L30" location="Calculation!B14" display="Overall national co-investment rate"/>
    <hyperlink ref="L31" location="Calculation!B15" display="Minimum FAR"/>
    <hyperlink ref="L32" location="Calculation!A19" display="Multiplier"/>
    <hyperlink ref="L33" location="Calculation!B24" display="Check difference"/>
    <hyperlink ref="L34" location="Calculation!B23" display="Adjust multiplier when outside tolerance"/>
    <hyperlink ref="L7" location="Inputs!G2:N82" display="Total cost of all activities for recent period"/>
  </hyperlinks>
  <pageMargins left="0.70866141732283472" right="0.70866141732283472" top="1.1811023622047245" bottom="0.74803149606299213" header="0.39370078740157483" footer="0.31496062992125984"/>
  <pageSetup paperSize="9" scale="84" orientation="portrait" r:id="rId1"/>
  <headerFooter>
    <oddHeader>&amp;L&amp;16&amp;F&amp;R&amp;G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2"/>
  <sheetViews>
    <sheetView showGridLines="0" zoomScaleNormal="100" workbookViewId="0">
      <selection activeCell="A19" sqref="A19"/>
    </sheetView>
  </sheetViews>
  <sheetFormatPr defaultRowHeight="15" x14ac:dyDescent="0.25"/>
  <cols>
    <col min="1" max="1" width="27.140625" style="46" customWidth="1"/>
    <col min="2" max="2" width="9.42578125" style="46" customWidth="1"/>
    <col min="3" max="3" width="9.42578125" style="46" bestFit="1" customWidth="1"/>
    <col min="4" max="4" width="9.42578125" style="46" customWidth="1"/>
    <col min="5" max="15" width="9.140625" style="46"/>
    <col min="16" max="16" width="28.5703125" style="46" bestFit="1" customWidth="1"/>
    <col min="17" max="16384" width="9.140625" style="46"/>
  </cols>
  <sheetData>
    <row r="1" spans="1:18" x14ac:dyDescent="0.25">
      <c r="A1" s="45" t="s">
        <v>268</v>
      </c>
      <c r="B1" s="45" t="s">
        <v>127</v>
      </c>
    </row>
    <row r="2" spans="1:18" x14ac:dyDescent="0.25">
      <c r="A2" s="47" t="s">
        <v>269</v>
      </c>
      <c r="B2" s="48"/>
    </row>
    <row r="3" spans="1:18" x14ac:dyDescent="0.25">
      <c r="H3" s="49"/>
      <c r="P3" s="50" t="str">
        <f>Model!AF2</f>
        <v>AO</v>
      </c>
      <c r="Q3" s="50" t="str">
        <f>Model!AG2</f>
        <v>Current</v>
      </c>
      <c r="R3" s="50" t="str">
        <f>Model!AH2</f>
        <v>Future</v>
      </c>
    </row>
    <row r="4" spans="1:18" x14ac:dyDescent="0.25">
      <c r="A4" s="53" t="s">
        <v>159</v>
      </c>
      <c r="B4" s="54" t="s">
        <v>79</v>
      </c>
      <c r="C4" s="55" t="s">
        <v>78</v>
      </c>
      <c r="D4" s="56"/>
      <c r="G4" s="46" t="s">
        <v>120</v>
      </c>
      <c r="I4" s="51"/>
      <c r="P4" s="50" t="str">
        <f>Model!AF3</f>
        <v>Chatham Islands Territory</v>
      </c>
      <c r="Q4" s="52">
        <f ca="1">Model!AG3</f>
        <v>0.85</v>
      </c>
      <c r="R4" s="52">
        <f ca="1">Model!AH3</f>
        <v>0.85</v>
      </c>
    </row>
    <row r="5" spans="1:18" x14ac:dyDescent="0.25">
      <c r="A5" s="88" t="str">
        <f>Inputs!D3</f>
        <v>Centreline KM</v>
      </c>
      <c r="B5" s="60">
        <f>Inputs!D2</f>
        <v>2017</v>
      </c>
      <c r="C5" s="61" t="str">
        <f>Inputs!C1</f>
        <v>NZ Transport Agency</v>
      </c>
      <c r="D5" s="58"/>
      <c r="G5" s="49" t="s">
        <v>119</v>
      </c>
      <c r="H5" s="46" t="s">
        <v>140</v>
      </c>
      <c r="I5" s="51"/>
      <c r="P5" s="50" t="str">
        <f>Model!AF4</f>
        <v>Wairoa District</v>
      </c>
      <c r="Q5" s="52">
        <f ca="1">Model!AG4</f>
        <v>0.75</v>
      </c>
      <c r="R5" s="52">
        <f ca="1">Model!AH4</f>
        <v>0.75</v>
      </c>
    </row>
    <row r="6" spans="1:18" x14ac:dyDescent="0.25">
      <c r="A6" s="88" t="str">
        <f>Inputs!F3</f>
        <v>Capital Value</v>
      </c>
      <c r="B6" s="60">
        <f>Inputs!F2</f>
        <v>2016</v>
      </c>
      <c r="C6" s="61" t="str">
        <f>Inputs!E1</f>
        <v>Quoteable Value</v>
      </c>
      <c r="D6" s="58"/>
      <c r="G6" s="49" t="s">
        <v>118</v>
      </c>
      <c r="H6" s="46" t="s">
        <v>141</v>
      </c>
      <c r="P6" s="50" t="str">
        <f>Model!AF5</f>
        <v>Opotiki District</v>
      </c>
      <c r="Q6" s="52">
        <f ca="1">Model!AG5</f>
        <v>0.75</v>
      </c>
      <c r="R6" s="52">
        <f ca="1">Model!AH5</f>
        <v>0.75</v>
      </c>
    </row>
    <row r="7" spans="1:18" x14ac:dyDescent="0.25">
      <c r="A7" s="88" t="str">
        <f>Inputs!H3</f>
        <v>Rateable Units</v>
      </c>
      <c r="B7" s="60">
        <f>Inputs!H2</f>
        <v>2016</v>
      </c>
      <c r="C7" s="61" t="str">
        <f>Inputs!G1</f>
        <v>Quoteable Value</v>
      </c>
      <c r="D7" s="58"/>
      <c r="H7" s="46" t="s">
        <v>142</v>
      </c>
      <c r="P7" s="50" t="str">
        <f>Model!AF6</f>
        <v>Kawerau District</v>
      </c>
      <c r="Q7" s="52">
        <f ca="1">Model!AG6</f>
        <v>0.75</v>
      </c>
      <c r="R7" s="52">
        <f ca="1">Model!AH6</f>
        <v>0.75</v>
      </c>
    </row>
    <row r="8" spans="1:18" x14ac:dyDescent="0.25">
      <c r="A8" s="88" t="str">
        <f>Inputs!I3</f>
        <v>NZ Index of Deprivation</v>
      </c>
      <c r="B8" s="87">
        <f>Inputs!I2</f>
        <v>2013</v>
      </c>
      <c r="C8" s="61" t="str">
        <f>Inputs!I1</f>
        <v>Ministry of Health</v>
      </c>
      <c r="D8" s="58"/>
      <c r="P8" s="50" t="str">
        <f>Model!AF7</f>
        <v>Waitomo District</v>
      </c>
      <c r="Q8" s="52">
        <f ca="1">Model!AG7</f>
        <v>0.71</v>
      </c>
      <c r="R8" s="52">
        <f ca="1">Model!AH7</f>
        <v>0.73</v>
      </c>
    </row>
    <row r="9" spans="1:18" x14ac:dyDescent="0.25">
      <c r="A9" s="89" t="str">
        <f>Inputs!J1</f>
        <v>Recent NLTP</v>
      </c>
      <c r="B9" s="86" t="str">
        <f>Inputs!Z2</f>
        <v>2013/17</v>
      </c>
      <c r="C9" s="63" t="s">
        <v>83</v>
      </c>
      <c r="D9" s="64"/>
      <c r="P9" s="50" t="str">
        <f>Model!AF8</f>
        <v>Ruapehu District</v>
      </c>
      <c r="Q9" s="52">
        <f ca="1">Model!AG8</f>
        <v>0.72</v>
      </c>
      <c r="R9" s="52">
        <f ca="1">Model!AH8</f>
        <v>0.72</v>
      </c>
    </row>
    <row r="10" spans="1:18" x14ac:dyDescent="0.25">
      <c r="A10" s="57"/>
      <c r="B10" s="57"/>
      <c r="C10" s="57"/>
      <c r="D10" s="57"/>
      <c r="P10" s="50" t="str">
        <f>Model!AF9</f>
        <v>Gisborne District</v>
      </c>
      <c r="Q10" s="52">
        <f ca="1">Model!AG9</f>
        <v>0.67</v>
      </c>
      <c r="R10" s="52">
        <f ca="1">Model!AH9</f>
        <v>0.68</v>
      </c>
    </row>
    <row r="11" spans="1:18" x14ac:dyDescent="0.25">
      <c r="A11" s="53" t="s">
        <v>126</v>
      </c>
      <c r="B11" s="65"/>
      <c r="C11" s="61"/>
      <c r="D11" s="61"/>
      <c r="P11" s="50" t="str">
        <f>Model!AF10</f>
        <v>Tararua District</v>
      </c>
      <c r="Q11" s="52">
        <f ca="1">Model!AG10</f>
        <v>0.65</v>
      </c>
      <c r="R11" s="52">
        <f ca="1">Model!AH10</f>
        <v>0.66</v>
      </c>
    </row>
    <row r="12" spans="1:18" x14ac:dyDescent="0.25">
      <c r="A12" s="59" t="s">
        <v>155</v>
      </c>
      <c r="B12" s="78">
        <v>0.75</v>
      </c>
      <c r="C12" s="61"/>
      <c r="D12" s="61"/>
      <c r="P12" s="50" t="str">
        <f>Model!AF11</f>
        <v>Far North District</v>
      </c>
      <c r="Q12" s="52">
        <f ca="1">Model!AG11</f>
        <v>0.66</v>
      </c>
      <c r="R12" s="52">
        <f ca="1">Model!AH11</f>
        <v>0.66</v>
      </c>
    </row>
    <row r="13" spans="1:18" x14ac:dyDescent="0.25">
      <c r="A13" s="59" t="s">
        <v>156</v>
      </c>
      <c r="B13" s="78">
        <v>0.85</v>
      </c>
      <c r="C13" s="61"/>
      <c r="D13" s="61"/>
      <c r="P13" s="50" t="str">
        <f>Model!AF12</f>
        <v>Buller District</v>
      </c>
      <c r="Q13" s="52">
        <f ca="1">Model!AG12</f>
        <v>0.63</v>
      </c>
      <c r="R13" s="52">
        <f ca="1">Model!AH12</f>
        <v>0.66</v>
      </c>
    </row>
    <row r="14" spans="1:18" x14ac:dyDescent="0.25">
      <c r="A14" s="59" t="s">
        <v>154</v>
      </c>
      <c r="B14" s="78">
        <v>0.53</v>
      </c>
      <c r="C14" s="66" t="str">
        <f>IF(B12&lt;B14,"Maximum must be greater than overall","")</f>
        <v/>
      </c>
      <c r="D14" s="61"/>
      <c r="P14" s="50" t="str">
        <f>Model!AF13</f>
        <v>Whakatane District</v>
      </c>
      <c r="Q14" s="52">
        <f ca="1">Model!AG13</f>
        <v>0.64</v>
      </c>
      <c r="R14" s="52">
        <f ca="1">Model!AH13</f>
        <v>0.64</v>
      </c>
    </row>
    <row r="15" spans="1:18" x14ac:dyDescent="0.25">
      <c r="A15" s="62" t="s">
        <v>91</v>
      </c>
      <c r="B15" s="78">
        <v>0.51</v>
      </c>
      <c r="C15" s="66" t="str">
        <f>IF(B14&lt;B15,"Overall must be greater than core","")</f>
        <v/>
      </c>
      <c r="D15" s="67"/>
      <c r="P15" s="50" t="str">
        <f>Model!AF14</f>
        <v>Rangitikei District</v>
      </c>
      <c r="Q15" s="52">
        <f ca="1">Model!AG14</f>
        <v>0.63</v>
      </c>
      <c r="R15" s="52">
        <f ca="1">Model!AH14</f>
        <v>0.63</v>
      </c>
    </row>
    <row r="16" spans="1:18" x14ac:dyDescent="0.25">
      <c r="C16" s="61"/>
      <c r="D16" s="61"/>
      <c r="P16" s="50" t="str">
        <f>Model!AF15</f>
        <v>South Waikato District</v>
      </c>
      <c r="Q16" s="52">
        <f ca="1">Model!AG15</f>
        <v>0.62</v>
      </c>
      <c r="R16" s="52">
        <f ca="1">Model!AH15</f>
        <v>0.62</v>
      </c>
    </row>
    <row r="17" spans="1:18" x14ac:dyDescent="0.25">
      <c r="P17" s="50" t="str">
        <f>Model!AF16</f>
        <v>Wanganui District</v>
      </c>
      <c r="Q17" s="52">
        <f ca="1">Model!AG16</f>
        <v>0.6</v>
      </c>
      <c r="R17" s="52">
        <f ca="1">Model!AH16</f>
        <v>0.61</v>
      </c>
    </row>
    <row r="18" spans="1:18" x14ac:dyDescent="0.25">
      <c r="A18" s="90" t="s">
        <v>164</v>
      </c>
      <c r="P18" s="50" t="str">
        <f>Model!AF17</f>
        <v>Kaipara District</v>
      </c>
      <c r="Q18" s="52">
        <f ca="1">Model!AG17</f>
        <v>0.61</v>
      </c>
      <c r="R18" s="52">
        <f ca="1">Model!AH17</f>
        <v>0.6</v>
      </c>
    </row>
    <row r="19" spans="1:18" x14ac:dyDescent="0.25">
      <c r="A19" s="91" t="s">
        <v>166</v>
      </c>
      <c r="P19" s="50" t="str">
        <f>Model!AF18</f>
        <v>Central Hawke's Bay District</v>
      </c>
      <c r="Q19" s="52">
        <f ca="1">Model!AG18</f>
        <v>0.6</v>
      </c>
      <c r="R19" s="52">
        <f ca="1">Model!AH18</f>
        <v>0.6</v>
      </c>
    </row>
    <row r="20" spans="1:18" x14ac:dyDescent="0.25">
      <c r="A20" s="68" t="s">
        <v>167</v>
      </c>
      <c r="P20" s="50" t="str">
        <f>Model!AF19</f>
        <v>West Coast Regional</v>
      </c>
      <c r="Q20" s="52">
        <f ca="1">Model!AG19</f>
        <v>0.57999999999999996</v>
      </c>
      <c r="R20" s="52">
        <f ca="1">Model!AH19</f>
        <v>0.6</v>
      </c>
    </row>
    <row r="21" spans="1:18" x14ac:dyDescent="0.25">
      <c r="P21" s="50" t="str">
        <f>Model!AF20</f>
        <v>Hauraki District</v>
      </c>
      <c r="Q21" s="52">
        <f ca="1">Model!AG20</f>
        <v>0.6</v>
      </c>
      <c r="R21" s="52">
        <f ca="1">Model!AH20</f>
        <v>0.59</v>
      </c>
    </row>
    <row r="22" spans="1:18" x14ac:dyDescent="0.25">
      <c r="B22" s="69"/>
      <c r="P22" s="50" t="str">
        <f>Model!AF21</f>
        <v>Waimate District</v>
      </c>
      <c r="Q22" s="52">
        <f ca="1">Model!AG21</f>
        <v>0.6</v>
      </c>
      <c r="R22" s="52">
        <f ca="1">Model!AH21</f>
        <v>0.59</v>
      </c>
    </row>
    <row r="23" spans="1:18" x14ac:dyDescent="0.25">
      <c r="A23" s="70" t="s">
        <v>157</v>
      </c>
      <c r="B23" s="79">
        <v>6.9900000000000004E-2</v>
      </c>
      <c r="P23" s="50" t="str">
        <f>Model!AF22</f>
        <v>Westland District</v>
      </c>
      <c r="Q23" s="52">
        <f ca="1">Model!AG22</f>
        <v>0.57999999999999996</v>
      </c>
      <c r="R23" s="52">
        <f ca="1">Model!AH22</f>
        <v>0.59</v>
      </c>
    </row>
    <row r="24" spans="1:18" x14ac:dyDescent="0.25">
      <c r="A24" s="71" t="s">
        <v>158</v>
      </c>
      <c r="B24" s="72">
        <f ca="1">Model!R19</f>
        <v>1.774889030004001E-5</v>
      </c>
      <c r="E24" s="46" t="s">
        <v>124</v>
      </c>
      <c r="P24" s="50" t="str">
        <f>Model!AF23</f>
        <v>Clutha District</v>
      </c>
      <c r="Q24" s="52">
        <f ca="1">Model!AG23</f>
        <v>0.59</v>
      </c>
      <c r="R24" s="52">
        <f ca="1">Model!AH23</f>
        <v>0.59</v>
      </c>
    </row>
    <row r="25" spans="1:18" ht="15" customHeight="1" x14ac:dyDescent="0.25">
      <c r="A25" s="73"/>
      <c r="B25" s="74" t="str">
        <f ca="1">IF(ABS(Model!R19)&gt;0.01%,"Outside tolerance","Within tolerance")</f>
        <v>Within tolerance</v>
      </c>
      <c r="E25" s="46">
        <f>MATCH(A31,Inputs!B4:B82,0)</f>
        <v>79</v>
      </c>
      <c r="P25" s="50" t="str">
        <f>Model!AF24</f>
        <v>Horowhenua District</v>
      </c>
      <c r="Q25" s="52">
        <f ca="1">Model!AG24</f>
        <v>0.59</v>
      </c>
      <c r="R25" s="52">
        <f ca="1">Model!AH24</f>
        <v>0.59</v>
      </c>
    </row>
    <row r="26" spans="1:18" x14ac:dyDescent="0.25">
      <c r="E26" s="46">
        <f ca="1">MATCH(OFFSET(Inputs!A3,E25,0),Model!B3:B81,0)</f>
        <v>79</v>
      </c>
      <c r="P26" s="50" t="str">
        <f>Model!AF25</f>
        <v>Grey District</v>
      </c>
      <c r="Q26" s="52">
        <f ca="1">Model!AG25</f>
        <v>0.56999999999999995</v>
      </c>
      <c r="R26" s="52">
        <f ca="1">Model!AH25</f>
        <v>0.57999999999999996</v>
      </c>
    </row>
    <row r="27" spans="1:18" x14ac:dyDescent="0.25">
      <c r="A27" s="75"/>
      <c r="B27" s="57"/>
      <c r="C27" s="57"/>
      <c r="D27" s="57"/>
      <c r="P27" s="50" t="str">
        <f>Model!AF26</f>
        <v>Otorohanga District</v>
      </c>
      <c r="Q27" s="52">
        <f ca="1">Model!AG26</f>
        <v>0.57999999999999996</v>
      </c>
      <c r="R27" s="52">
        <f ca="1">Model!AH26</f>
        <v>0.57999999999999996</v>
      </c>
    </row>
    <row r="28" spans="1:18" x14ac:dyDescent="0.25">
      <c r="A28" s="105" t="s">
        <v>168</v>
      </c>
      <c r="B28" s="57"/>
      <c r="C28" s="57"/>
      <c r="D28" s="77"/>
      <c r="P28" s="50" t="str">
        <f>Model!AF27</f>
        <v>South Taranaki District</v>
      </c>
      <c r="Q28" s="52">
        <f ca="1">Model!AG27</f>
        <v>0.57999999999999996</v>
      </c>
      <c r="R28" s="52">
        <f ca="1">Model!AH27</f>
        <v>0.56999999999999995</v>
      </c>
    </row>
    <row r="29" spans="1:18" x14ac:dyDescent="0.25">
      <c r="A29" s="76"/>
      <c r="B29" s="57"/>
      <c r="C29" s="57"/>
      <c r="D29" s="77"/>
      <c r="P29" s="50" t="str">
        <f>Model!AF28</f>
        <v>Masterton District</v>
      </c>
      <c r="Q29" s="52">
        <f ca="1">Model!AG28</f>
        <v>0.56999999999999995</v>
      </c>
      <c r="R29" s="52">
        <f ca="1">Model!AH28</f>
        <v>0.56999999999999995</v>
      </c>
    </row>
    <row r="30" spans="1:18" x14ac:dyDescent="0.25">
      <c r="A30" s="98" t="s">
        <v>123</v>
      </c>
      <c r="B30" s="99"/>
      <c r="C30" s="100" t="s">
        <v>267</v>
      </c>
      <c r="D30" s="101" t="s">
        <v>111</v>
      </c>
      <c r="P30" s="50" t="str">
        <f>Model!AF29</f>
        <v>Stratford District</v>
      </c>
      <c r="Q30" s="52">
        <f ca="1">Model!AG29</f>
        <v>0.56999999999999995</v>
      </c>
      <c r="R30" s="52">
        <f ca="1">Model!AH29</f>
        <v>0.56999999999999995</v>
      </c>
    </row>
    <row r="31" spans="1:18" x14ac:dyDescent="0.25">
      <c r="A31" s="104" t="s">
        <v>125</v>
      </c>
      <c r="B31" s="86"/>
      <c r="C31" s="102">
        <f ca="1">ROUND(OFFSET(Model!T2,E26,0),2)</f>
        <v>0.53</v>
      </c>
      <c r="D31" s="103">
        <f ca="1">ROUND(OFFSET(Model!S2,E26,0),2)</f>
        <v>0.53</v>
      </c>
      <c r="P31" s="50" t="str">
        <f>Model!AF30</f>
        <v>Gore District</v>
      </c>
      <c r="Q31" s="52">
        <f ca="1">Model!AG30</f>
        <v>0.54</v>
      </c>
      <c r="R31" s="52">
        <f ca="1">Model!AH30</f>
        <v>0.55000000000000004</v>
      </c>
    </row>
    <row r="32" spans="1:18" x14ac:dyDescent="0.25">
      <c r="C32" s="57"/>
      <c r="D32" s="57"/>
      <c r="P32" s="50" t="str">
        <f>Model!AF31</f>
        <v>Porirua City</v>
      </c>
      <c r="Q32" s="52">
        <f ca="1">Model!AG31</f>
        <v>0.56000000000000005</v>
      </c>
      <c r="R32" s="52">
        <f ca="1">Model!AH31</f>
        <v>0.55000000000000004</v>
      </c>
    </row>
    <row r="33" spans="1:18" x14ac:dyDescent="0.25">
      <c r="C33" s="57"/>
      <c r="D33" s="57"/>
      <c r="P33" s="50" t="str">
        <f>Model!AF32</f>
        <v>Rotorua District</v>
      </c>
      <c r="Q33" s="52">
        <f ca="1">Model!AG32</f>
        <v>0.55000000000000004</v>
      </c>
      <c r="R33" s="52">
        <f ca="1">Model!AH32</f>
        <v>0.55000000000000004</v>
      </c>
    </row>
    <row r="34" spans="1:18" x14ac:dyDescent="0.25">
      <c r="B34" s="57"/>
      <c r="C34" s="57"/>
      <c r="D34" s="57"/>
      <c r="P34" s="50" t="str">
        <f>Model!AF33</f>
        <v>Waitaki District</v>
      </c>
      <c r="Q34" s="52">
        <f ca="1">Model!AG33</f>
        <v>0.55000000000000004</v>
      </c>
      <c r="R34" s="52">
        <f ca="1">Model!AH33</f>
        <v>0.55000000000000004</v>
      </c>
    </row>
    <row r="35" spans="1:18" x14ac:dyDescent="0.25">
      <c r="B35" s="57"/>
      <c r="C35" s="57"/>
      <c r="D35" s="57"/>
      <c r="P35" s="50" t="str">
        <f>Model!AF34</f>
        <v>Hastings District</v>
      </c>
      <c r="Q35" s="52">
        <f ca="1">Model!AG34</f>
        <v>0.54</v>
      </c>
      <c r="R35" s="52">
        <f ca="1">Model!AH34</f>
        <v>0.54</v>
      </c>
    </row>
    <row r="36" spans="1:18" x14ac:dyDescent="0.25">
      <c r="A36" s="57"/>
      <c r="B36" s="57"/>
      <c r="C36" s="57"/>
      <c r="D36" s="57"/>
      <c r="P36" s="50" t="str">
        <f>Model!AF35</f>
        <v>Northland Regional</v>
      </c>
      <c r="Q36" s="52">
        <f ca="1">Model!AG35</f>
        <v>0.54</v>
      </c>
      <c r="R36" s="52">
        <f ca="1">Model!AH35</f>
        <v>0.53</v>
      </c>
    </row>
    <row r="37" spans="1:18" x14ac:dyDescent="0.25">
      <c r="A37" s="57"/>
      <c r="B37" s="57"/>
      <c r="C37" s="57"/>
      <c r="D37" s="57"/>
      <c r="P37" s="50" t="str">
        <f>Model!AF36</f>
        <v>Whangarei District</v>
      </c>
      <c r="Q37" s="52">
        <f ca="1">Model!AG36</f>
        <v>0.53</v>
      </c>
      <c r="R37" s="52">
        <f ca="1">Model!AH36</f>
        <v>0.53</v>
      </c>
    </row>
    <row r="38" spans="1:18" x14ac:dyDescent="0.25">
      <c r="P38" s="50" t="str">
        <f>Model!AF37</f>
        <v>Manawatu District</v>
      </c>
      <c r="Q38" s="52">
        <f ca="1">Model!AG37</f>
        <v>0.53</v>
      </c>
      <c r="R38" s="52">
        <f ca="1">Model!AH37</f>
        <v>0.53</v>
      </c>
    </row>
    <row r="39" spans="1:18" ht="15" customHeight="1" x14ac:dyDescent="0.25">
      <c r="P39" s="50" t="str">
        <f>Model!AF38</f>
        <v>Carterton District</v>
      </c>
      <c r="Q39" s="52">
        <f ca="1">Model!AG38</f>
        <v>0.53</v>
      </c>
      <c r="R39" s="52">
        <f ca="1">Model!AH38</f>
        <v>0.52</v>
      </c>
    </row>
    <row r="40" spans="1:18" x14ac:dyDescent="0.25">
      <c r="P40" s="50" t="str">
        <f>Model!AF39</f>
        <v>South Wairarapa District</v>
      </c>
      <c r="Q40" s="52">
        <f ca="1">Model!AG39</f>
        <v>0.52</v>
      </c>
      <c r="R40" s="52">
        <f ca="1">Model!AH39</f>
        <v>0.52</v>
      </c>
    </row>
    <row r="41" spans="1:18" x14ac:dyDescent="0.25">
      <c r="P41" s="50" t="str">
        <f>Model!AF40</f>
        <v>Kaikoura District</v>
      </c>
      <c r="Q41" s="52">
        <f ca="1">Model!AG40</f>
        <v>0.51</v>
      </c>
      <c r="R41" s="52">
        <f ca="1">Model!AH40</f>
        <v>0.51</v>
      </c>
    </row>
    <row r="42" spans="1:18" x14ac:dyDescent="0.25">
      <c r="P42" s="50" t="str">
        <f>Model!AF41</f>
        <v>Waikato District</v>
      </c>
      <c r="Q42" s="52">
        <f ca="1">Model!AG41</f>
        <v>0.52</v>
      </c>
      <c r="R42" s="52">
        <f ca="1">Model!AH41</f>
        <v>0.51</v>
      </c>
    </row>
    <row r="43" spans="1:18" x14ac:dyDescent="0.25">
      <c r="P43" s="50" t="str">
        <f>Model!AF42</f>
        <v>Hawkes Bay Regional</v>
      </c>
      <c r="Q43" s="52">
        <f ca="1">Model!AG42</f>
        <v>0.51</v>
      </c>
      <c r="R43" s="52">
        <f ca="1">Model!AH42</f>
        <v>0.51</v>
      </c>
    </row>
    <row r="44" spans="1:18" x14ac:dyDescent="0.25">
      <c r="P44" s="50" t="str">
        <f>Model!AF43</f>
        <v>Napier City</v>
      </c>
      <c r="Q44" s="52">
        <f ca="1">Model!AG43</f>
        <v>0.51</v>
      </c>
      <c r="R44" s="52">
        <f ca="1">Model!AH43</f>
        <v>0.51</v>
      </c>
    </row>
    <row r="45" spans="1:18" x14ac:dyDescent="0.25">
      <c r="P45" s="50" t="str">
        <f>Model!AF44</f>
        <v>Taupo District</v>
      </c>
      <c r="Q45" s="52">
        <f ca="1">Model!AG44</f>
        <v>0.51</v>
      </c>
      <c r="R45" s="52">
        <f ca="1">Model!AH44</f>
        <v>0.51</v>
      </c>
    </row>
    <row r="46" spans="1:18" x14ac:dyDescent="0.25">
      <c r="P46" s="50" t="str">
        <f>Model!AF45</f>
        <v>Thames-Coromandel District</v>
      </c>
      <c r="Q46" s="52">
        <f ca="1">Model!AG45</f>
        <v>0.51</v>
      </c>
      <c r="R46" s="52">
        <f ca="1">Model!AH45</f>
        <v>0.51</v>
      </c>
    </row>
    <row r="47" spans="1:18" x14ac:dyDescent="0.25">
      <c r="P47" s="50" t="str">
        <f>Model!AF46</f>
        <v>Invercargill City</v>
      </c>
      <c r="Q47" s="52">
        <f ca="1">Model!AG46</f>
        <v>0.51</v>
      </c>
      <c r="R47" s="52">
        <f ca="1">Model!AH46</f>
        <v>0.51</v>
      </c>
    </row>
    <row r="48" spans="1:18" x14ac:dyDescent="0.25">
      <c r="P48" s="50" t="str">
        <f>Model!AF47</f>
        <v>Mackenzie District</v>
      </c>
      <c r="Q48" s="52">
        <f ca="1">Model!AG47</f>
        <v>0.51</v>
      </c>
      <c r="R48" s="52">
        <f ca="1">Model!AH47</f>
        <v>0.51</v>
      </c>
    </row>
    <row r="49" spans="16:18" x14ac:dyDescent="0.25">
      <c r="P49" s="50" t="str">
        <f>Model!AF48</f>
        <v>Southland Regional</v>
      </c>
      <c r="Q49" s="52">
        <f ca="1">Model!AG48</f>
        <v>0.51</v>
      </c>
      <c r="R49" s="52">
        <f ca="1">Model!AH48</f>
        <v>0.51</v>
      </c>
    </row>
    <row r="50" spans="16:18" x14ac:dyDescent="0.25">
      <c r="P50" s="50" t="str">
        <f>Model!AF49</f>
        <v>Hurunui District</v>
      </c>
      <c r="Q50" s="52">
        <f ca="1">Model!AG49</f>
        <v>0.51</v>
      </c>
      <c r="R50" s="52">
        <f ca="1">Model!AH49</f>
        <v>0.51</v>
      </c>
    </row>
    <row r="51" spans="16:18" x14ac:dyDescent="0.25">
      <c r="P51" s="50" t="str">
        <f>Model!AF50</f>
        <v>Matamata-Piako District</v>
      </c>
      <c r="Q51" s="52">
        <f ca="1">Model!AG50</f>
        <v>0.51</v>
      </c>
      <c r="R51" s="52">
        <f ca="1">Model!AH50</f>
        <v>0.51</v>
      </c>
    </row>
    <row r="52" spans="16:18" x14ac:dyDescent="0.25">
      <c r="P52" s="50" t="str">
        <f>Model!AF51</f>
        <v>Timaru District</v>
      </c>
      <c r="Q52" s="52">
        <f ca="1">Model!AG51</f>
        <v>0.51</v>
      </c>
      <c r="R52" s="52">
        <f ca="1">Model!AH51</f>
        <v>0.51</v>
      </c>
    </row>
    <row r="53" spans="16:18" x14ac:dyDescent="0.25">
      <c r="P53" s="50" t="str">
        <f>Model!AF52</f>
        <v>Taranaki Regional</v>
      </c>
      <c r="Q53" s="52">
        <f ca="1">Model!AG52</f>
        <v>0.51</v>
      </c>
      <c r="R53" s="52">
        <f ca="1">Model!AH52</f>
        <v>0.51</v>
      </c>
    </row>
    <row r="54" spans="16:18" x14ac:dyDescent="0.25">
      <c r="P54" s="50" t="str">
        <f>Model!AF53</f>
        <v>Manawatu-Wanganui Regional</v>
      </c>
      <c r="Q54" s="52">
        <f ca="1">Model!AG53</f>
        <v>0.51</v>
      </c>
      <c r="R54" s="52">
        <f ca="1">Model!AH53</f>
        <v>0.51</v>
      </c>
    </row>
    <row r="55" spans="16:18" x14ac:dyDescent="0.25">
      <c r="P55" s="50" t="str">
        <f>Model!AF54</f>
        <v>Southland District</v>
      </c>
      <c r="Q55" s="52">
        <f ca="1">Model!AG54</f>
        <v>0.51</v>
      </c>
      <c r="R55" s="52">
        <f ca="1">Model!AH54</f>
        <v>0.51</v>
      </c>
    </row>
    <row r="56" spans="16:18" x14ac:dyDescent="0.25">
      <c r="P56" s="50" t="str">
        <f>Model!AF55</f>
        <v>Central Otago District</v>
      </c>
      <c r="Q56" s="52">
        <f ca="1">Model!AG55</f>
        <v>0.51</v>
      </c>
      <c r="R56" s="52">
        <f ca="1">Model!AH55</f>
        <v>0.51</v>
      </c>
    </row>
    <row r="57" spans="16:18" x14ac:dyDescent="0.25">
      <c r="P57" s="50" t="str">
        <f>Model!AF56</f>
        <v>New Plymouth District</v>
      </c>
      <c r="Q57" s="52">
        <f ca="1">Model!AG56</f>
        <v>0.51</v>
      </c>
      <c r="R57" s="52">
        <f ca="1">Model!AH56</f>
        <v>0.51</v>
      </c>
    </row>
    <row r="58" spans="16:18" x14ac:dyDescent="0.25">
      <c r="P58" s="50" t="str">
        <f>Model!AF57</f>
        <v>Lower Hutt City</v>
      </c>
      <c r="Q58" s="52">
        <f ca="1">Model!AG57</f>
        <v>0.51</v>
      </c>
      <c r="R58" s="52">
        <f ca="1">Model!AH57</f>
        <v>0.51</v>
      </c>
    </row>
    <row r="59" spans="16:18" x14ac:dyDescent="0.25">
      <c r="P59" s="50" t="str">
        <f>Model!AF58</f>
        <v>Palmerston North City</v>
      </c>
      <c r="Q59" s="52">
        <f ca="1">Model!AG58</f>
        <v>0.51</v>
      </c>
      <c r="R59" s="52">
        <f ca="1">Model!AH58</f>
        <v>0.51</v>
      </c>
    </row>
    <row r="60" spans="16:18" x14ac:dyDescent="0.25">
      <c r="P60" s="50" t="str">
        <f>Model!AF59</f>
        <v>Ashburton District</v>
      </c>
      <c r="Q60" s="52">
        <f ca="1">Model!AG59</f>
        <v>0.51</v>
      </c>
      <c r="R60" s="52">
        <f ca="1">Model!AH59</f>
        <v>0.51</v>
      </c>
    </row>
    <row r="61" spans="16:18" x14ac:dyDescent="0.25">
      <c r="P61" s="50" t="str">
        <f>Model!AF60</f>
        <v>Hamilton City</v>
      </c>
      <c r="Q61" s="52">
        <f ca="1">Model!AG60</f>
        <v>0.51</v>
      </c>
      <c r="R61" s="52">
        <f ca="1">Model!AH60</f>
        <v>0.51</v>
      </c>
    </row>
    <row r="62" spans="16:18" x14ac:dyDescent="0.25">
      <c r="P62" s="50" t="str">
        <f>Model!AF61</f>
        <v>Nelson City</v>
      </c>
      <c r="Q62" s="52">
        <f ca="1">Model!AG61</f>
        <v>0.51</v>
      </c>
      <c r="R62" s="52">
        <f ca="1">Model!AH61</f>
        <v>0.51</v>
      </c>
    </row>
    <row r="63" spans="16:18" x14ac:dyDescent="0.25">
      <c r="P63" s="50" t="str">
        <f>Model!AF62</f>
        <v>Tasman District</v>
      </c>
      <c r="Q63" s="52">
        <f ca="1">Model!AG62</f>
        <v>0.51</v>
      </c>
      <c r="R63" s="52">
        <f ca="1">Model!AH62</f>
        <v>0.51</v>
      </c>
    </row>
    <row r="64" spans="16:18" x14ac:dyDescent="0.25">
      <c r="P64" s="50" t="str">
        <f>Model!AF63</f>
        <v>Western Bay of Plenty District</v>
      </c>
      <c r="Q64" s="52">
        <f ca="1">Model!AG63</f>
        <v>0.51</v>
      </c>
      <c r="R64" s="52">
        <f ca="1">Model!AH63</f>
        <v>0.51</v>
      </c>
    </row>
    <row r="65" spans="16:18" x14ac:dyDescent="0.25">
      <c r="P65" s="50" t="str">
        <f>Model!AF64</f>
        <v>Dunedin City</v>
      </c>
      <c r="Q65" s="52">
        <f ca="1">Model!AG64</f>
        <v>0.51</v>
      </c>
      <c r="R65" s="52">
        <f ca="1">Model!AH64</f>
        <v>0.51</v>
      </c>
    </row>
    <row r="66" spans="16:18" x14ac:dyDescent="0.25">
      <c r="P66" s="50" t="str">
        <f>Model!AF65</f>
        <v>Upper Hutt City</v>
      </c>
      <c r="Q66" s="52">
        <f ca="1">Model!AG65</f>
        <v>0.51</v>
      </c>
      <c r="R66" s="52">
        <f ca="1">Model!AH65</f>
        <v>0.51</v>
      </c>
    </row>
    <row r="67" spans="16:18" x14ac:dyDescent="0.25">
      <c r="P67" s="50" t="str">
        <f>Model!AF66</f>
        <v>Marlborough District</v>
      </c>
      <c r="Q67" s="52">
        <f ca="1">Model!AG66</f>
        <v>0.51</v>
      </c>
      <c r="R67" s="52">
        <f ca="1">Model!AH66</f>
        <v>0.51</v>
      </c>
    </row>
    <row r="68" spans="16:18" x14ac:dyDescent="0.25">
      <c r="P68" s="50" t="str">
        <f>Model!AF67</f>
        <v>Waipa District</v>
      </c>
      <c r="Q68" s="52">
        <f ca="1">Model!AG67</f>
        <v>0.51</v>
      </c>
      <c r="R68" s="52">
        <f ca="1">Model!AH67</f>
        <v>0.51</v>
      </c>
    </row>
    <row r="69" spans="16:18" x14ac:dyDescent="0.25">
      <c r="P69" s="50" t="str">
        <f>Model!AF68</f>
        <v>Tauranga City</v>
      </c>
      <c r="Q69" s="52">
        <f ca="1">Model!AG68</f>
        <v>0.51</v>
      </c>
      <c r="R69" s="52">
        <f ca="1">Model!AH68</f>
        <v>0.51</v>
      </c>
    </row>
    <row r="70" spans="16:18" x14ac:dyDescent="0.25">
      <c r="P70" s="50" t="str">
        <f>Model!AF69</f>
        <v>Waimakariri District</v>
      </c>
      <c r="Q70" s="52">
        <f ca="1">Model!AG69</f>
        <v>0.51</v>
      </c>
      <c r="R70" s="52">
        <f ca="1">Model!AH69</f>
        <v>0.51</v>
      </c>
    </row>
    <row r="71" spans="16:18" x14ac:dyDescent="0.25">
      <c r="P71" s="50" t="str">
        <f>Model!AF70</f>
        <v>Kapiti Coast District</v>
      </c>
      <c r="Q71" s="52">
        <f ca="1">Model!AG70</f>
        <v>0.51</v>
      </c>
      <c r="R71" s="52">
        <f ca="1">Model!AH70</f>
        <v>0.51</v>
      </c>
    </row>
    <row r="72" spans="16:18" x14ac:dyDescent="0.25">
      <c r="P72" s="50" t="str">
        <f>Model!AF71</f>
        <v>Bay of Plenty Regional</v>
      </c>
      <c r="Q72" s="52">
        <f ca="1">Model!AG71</f>
        <v>0.51</v>
      </c>
      <c r="R72" s="52">
        <f ca="1">Model!AH71</f>
        <v>0.51</v>
      </c>
    </row>
    <row r="73" spans="16:18" x14ac:dyDescent="0.25">
      <c r="P73" s="50" t="str">
        <f>Model!AF72</f>
        <v>Otago Regional</v>
      </c>
      <c r="Q73" s="52">
        <f ca="1">Model!AG72</f>
        <v>0.51</v>
      </c>
      <c r="R73" s="52">
        <f ca="1">Model!AH72</f>
        <v>0.51</v>
      </c>
    </row>
    <row r="74" spans="16:18" x14ac:dyDescent="0.25">
      <c r="P74" s="50" t="str">
        <f>Model!AF73</f>
        <v>Selwyn District</v>
      </c>
      <c r="Q74" s="52">
        <f ca="1">Model!AG73</f>
        <v>0.51</v>
      </c>
      <c r="R74" s="52">
        <f ca="1">Model!AH73</f>
        <v>0.51</v>
      </c>
    </row>
    <row r="75" spans="16:18" x14ac:dyDescent="0.25">
      <c r="P75" s="50" t="str">
        <f>Model!AF74</f>
        <v>Wellington City</v>
      </c>
      <c r="Q75" s="52">
        <f ca="1">Model!AG74</f>
        <v>0.51</v>
      </c>
      <c r="R75" s="52">
        <f ca="1">Model!AH74</f>
        <v>0.51</v>
      </c>
    </row>
    <row r="76" spans="16:18" x14ac:dyDescent="0.25">
      <c r="P76" s="50" t="str">
        <f>Model!AF75</f>
        <v>Queenstown-Lakes District</v>
      </c>
      <c r="Q76" s="52">
        <f ca="1">Model!AG75</f>
        <v>0.51</v>
      </c>
      <c r="R76" s="52">
        <f ca="1">Model!AH75</f>
        <v>0.51</v>
      </c>
    </row>
    <row r="77" spans="16:18" x14ac:dyDescent="0.25">
      <c r="P77" s="50" t="str">
        <f>Model!AF76</f>
        <v>Waikato Regional</v>
      </c>
      <c r="Q77" s="52">
        <f ca="1">Model!AG76</f>
        <v>0.51</v>
      </c>
      <c r="R77" s="52">
        <f ca="1">Model!AH76</f>
        <v>0.51</v>
      </c>
    </row>
    <row r="78" spans="16:18" x14ac:dyDescent="0.25">
      <c r="P78" s="50" t="str">
        <f>Model!AF77</f>
        <v>Christchurch City</v>
      </c>
      <c r="Q78" s="52">
        <f ca="1">Model!AG77</f>
        <v>0.51</v>
      </c>
      <c r="R78" s="52">
        <f ca="1">Model!AH77</f>
        <v>0.51</v>
      </c>
    </row>
    <row r="79" spans="16:18" x14ac:dyDescent="0.25">
      <c r="P79" s="50" t="str">
        <f>Model!AF78</f>
        <v>Wellington Regional</v>
      </c>
      <c r="Q79" s="52">
        <f ca="1">Model!AG78</f>
        <v>0.51</v>
      </c>
      <c r="R79" s="52">
        <f ca="1">Model!AH78</f>
        <v>0.51</v>
      </c>
    </row>
    <row r="80" spans="16:18" x14ac:dyDescent="0.25">
      <c r="P80" s="50" t="str">
        <f>Model!AF79</f>
        <v>Canterbury Regional</v>
      </c>
      <c r="Q80" s="52">
        <f ca="1">Model!AG79</f>
        <v>0.51</v>
      </c>
      <c r="R80" s="52">
        <f ca="1">Model!AH79</f>
        <v>0.51</v>
      </c>
    </row>
    <row r="81" spans="16:18" x14ac:dyDescent="0.25">
      <c r="P81" s="50" t="str">
        <f>Model!AF80</f>
        <v>Auckland</v>
      </c>
      <c r="Q81" s="52">
        <f ca="1">Model!AG80</f>
        <v>0.51</v>
      </c>
      <c r="R81" s="52">
        <f ca="1">Model!AH80</f>
        <v>0.51</v>
      </c>
    </row>
    <row r="82" spans="16:18" x14ac:dyDescent="0.25">
      <c r="P82" s="50" t="str">
        <f>Model!AF81</f>
        <v>National</v>
      </c>
      <c r="Q82" s="52">
        <f>Model!AG81</f>
        <v>0.53</v>
      </c>
      <c r="R82" s="52">
        <f ca="1">Model!AH81</f>
        <v>0.53</v>
      </c>
    </row>
  </sheetData>
  <conditionalFormatting sqref="D14:D15">
    <cfRule type="expression" dxfId="13" priority="11" stopIfTrue="1">
      <formula>$D$15="n"</formula>
    </cfRule>
  </conditionalFormatting>
  <conditionalFormatting sqref="B24:B25">
    <cfRule type="expression" dxfId="12" priority="9">
      <formula>ABS($B$24)&gt;0.015%</formula>
    </cfRule>
  </conditionalFormatting>
  <conditionalFormatting sqref="R4:R82">
    <cfRule type="expression" dxfId="11" priority="7">
      <formula>R4&gt;Q4</formula>
    </cfRule>
    <cfRule type="expression" dxfId="10" priority="8">
      <formula>R4&lt;Q4</formula>
    </cfRule>
  </conditionalFormatting>
  <conditionalFormatting sqref="A6:C6">
    <cfRule type="expression" dxfId="9" priority="18" stopIfTrue="1">
      <formula>#REF!="n"</formula>
    </cfRule>
  </conditionalFormatting>
  <conditionalFormatting sqref="A7:C7">
    <cfRule type="expression" dxfId="8" priority="21" stopIfTrue="1">
      <formula>#REF!="n"</formula>
    </cfRule>
  </conditionalFormatting>
  <conditionalFormatting sqref="A5:C5">
    <cfRule type="expression" dxfId="7" priority="24" stopIfTrue="1">
      <formula>#REF!="n"</formula>
    </cfRule>
  </conditionalFormatting>
  <conditionalFormatting sqref="D31">
    <cfRule type="expression" dxfId="6" priority="25">
      <formula>$D$31&gt;$C$31</formula>
    </cfRule>
    <cfRule type="expression" dxfId="5" priority="26">
      <formula>$D$31&lt;$C$31</formula>
    </cfRule>
  </conditionalFormatting>
  <conditionalFormatting sqref="C9">
    <cfRule type="expression" dxfId="4" priority="4" stopIfTrue="1">
      <formula>#REF!="n"</formula>
    </cfRule>
  </conditionalFormatting>
  <conditionalFormatting sqref="A8">
    <cfRule type="expression" dxfId="3" priority="3" stopIfTrue="1">
      <formula>#REF!="n"</formula>
    </cfRule>
  </conditionalFormatting>
  <conditionalFormatting sqref="B8">
    <cfRule type="expression" dxfId="2" priority="2" stopIfTrue="1">
      <formula>#REF!="n"</formula>
    </cfRule>
  </conditionalFormatting>
  <conditionalFormatting sqref="C8">
    <cfRule type="expression" dxfId="1" priority="1" stopIfTrue="1">
      <formula>#REF!="n"</formula>
    </cfRule>
  </conditionalFormatting>
  <dataValidations count="3">
    <dataValidation type="decimal" allowBlank="1" showInputMessage="1" showErrorMessage="1" promptTitle="Maximum FAR" prompt="50 to 100% is allowed in the model._x000a__x000a_Remember to enter as percentage." sqref="B12:B13">
      <formula1>0.5</formula1>
      <formula2>1</formula2>
    </dataValidation>
    <dataValidation type="decimal" allowBlank="1" showInputMessage="1" showErrorMessage="1" promptTitle="Overall national FAR" prompt="20% to 100% is allowed in the model._x000a__x000a_Remember to enter as percentage." sqref="B14">
      <formula1>0.2</formula1>
      <formula2>1</formula2>
    </dataValidation>
    <dataValidation type="decimal" operator="lessThan" allowBlank="1" showInputMessage="1" showErrorMessage="1" error="Must be below the Overall rate._x000a__x000a_Remember to enter as percentage." promptTitle="Minimum FAR" prompt="Set below the overall rate._x000a__x000a_Remember to enter as percentage." sqref="B15">
      <formula1>B14</formula1>
    </dataValidation>
  </dataValidations>
  <hyperlinks>
    <hyperlink ref="A5" location="Inputs!C2:C81" display="Inputs!C2:C81"/>
    <hyperlink ref="A6" location="Inputs!D2:D81" display="Inputs!D2:D81"/>
    <hyperlink ref="A7" location="Inputs!E2:E81" display="Inputs!E2:E81"/>
    <hyperlink ref="A8" location="Inputs!F2:F81" display="Inputs!F2:F81"/>
    <hyperlink ref="A9" location="Inputs!G2:N82" display="Inputs!G2:N82"/>
    <hyperlink ref="A19" location="model!A3:B80" display="model sheet A3:B80"/>
  </hyperlinks>
  <pageMargins left="0.25" right="0.25" top="0.75" bottom="0.75" header="0.3" footer="0.3"/>
  <pageSetup paperSize="9" scale="7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Inputs!$B$4:$B$82</xm:f>
          </x14:formula1>
          <xm:sqref>A31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166"/>
  <sheetViews>
    <sheetView workbookViewId="0">
      <selection activeCell="E3" sqref="E3"/>
    </sheetView>
  </sheetViews>
  <sheetFormatPr defaultRowHeight="15" x14ac:dyDescent="0.25"/>
  <cols>
    <col min="1" max="1" width="5.28515625" bestFit="1" customWidth="1"/>
    <col min="4" max="4" width="28.5703125" customWidth="1"/>
    <col min="5" max="5" width="14" bestFit="1" customWidth="1"/>
    <col min="6" max="6" width="12" bestFit="1" customWidth="1"/>
    <col min="7" max="7" width="24.7109375" customWidth="1"/>
    <col min="13" max="14" width="9.140625" style="1"/>
    <col min="17" max="17" width="11" bestFit="1" customWidth="1"/>
    <col min="18" max="18" width="9.140625" customWidth="1"/>
    <col min="32" max="32" width="28.5703125" bestFit="1" customWidth="1"/>
  </cols>
  <sheetData>
    <row r="1" spans="1:41" x14ac:dyDescent="0.25">
      <c r="A1" s="85" t="s">
        <v>165</v>
      </c>
      <c r="H1" s="8" t="s">
        <v>135</v>
      </c>
      <c r="I1" s="16"/>
      <c r="J1" s="16"/>
      <c r="K1" s="8" t="s">
        <v>94</v>
      </c>
      <c r="L1" s="16"/>
      <c r="M1" s="16"/>
      <c r="N1" s="16"/>
      <c r="O1" s="16"/>
      <c r="P1" s="9"/>
      <c r="S1" s="8" t="s">
        <v>108</v>
      </c>
      <c r="T1" s="9"/>
      <c r="U1" s="8" t="s">
        <v>266</v>
      </c>
      <c r="V1" s="16"/>
      <c r="W1" s="9"/>
      <c r="X1" s="8" t="s">
        <v>113</v>
      </c>
      <c r="Y1" s="16"/>
      <c r="Z1" s="16" t="s">
        <v>114</v>
      </c>
      <c r="AA1" s="9"/>
      <c r="AB1" s="8" t="s">
        <v>131</v>
      </c>
      <c r="AC1" s="9"/>
      <c r="AD1" s="8" t="s">
        <v>132</v>
      </c>
      <c r="AE1" s="9"/>
      <c r="AJ1" t="s">
        <v>103</v>
      </c>
      <c r="AM1" t="s">
        <v>112</v>
      </c>
    </row>
    <row r="2" spans="1:41" x14ac:dyDescent="0.25">
      <c r="A2" t="s">
        <v>95</v>
      </c>
      <c r="B2" t="s">
        <v>86</v>
      </c>
      <c r="C2" t="s">
        <v>85</v>
      </c>
      <c r="D2" t="s">
        <v>87</v>
      </c>
      <c r="E2" t="s">
        <v>82</v>
      </c>
      <c r="F2" t="s">
        <v>89</v>
      </c>
      <c r="G2" t="s">
        <v>129</v>
      </c>
      <c r="H2" s="10" t="str">
        <f>E2</f>
        <v>Rateable Units</v>
      </c>
      <c r="I2" s="14" t="str">
        <f>F2</f>
        <v>NZ Dep</v>
      </c>
      <c r="J2" s="14" t="str">
        <f>G2</f>
        <v>Centreline KM / Capital Value</v>
      </c>
      <c r="K2" s="10" t="str">
        <f>E93&amp;E2</f>
        <v>Rateable Units</v>
      </c>
      <c r="L2" s="14" t="str">
        <f>F93&amp;F2</f>
        <v>NZ Dep</v>
      </c>
      <c r="M2" s="14" t="str">
        <f>G93&amp;G2</f>
        <v>Centreline KM / Capital Value</v>
      </c>
      <c r="N2" s="14" t="s">
        <v>98</v>
      </c>
      <c r="O2" s="14" t="s">
        <v>97</v>
      </c>
      <c r="P2" s="11" t="s">
        <v>100</v>
      </c>
      <c r="S2" s="10" t="s">
        <v>111</v>
      </c>
      <c r="T2" s="11" t="s">
        <v>115</v>
      </c>
      <c r="U2" s="10" t="s">
        <v>102</v>
      </c>
      <c r="V2" s="14" t="s">
        <v>103</v>
      </c>
      <c r="W2" s="11" t="s">
        <v>112</v>
      </c>
      <c r="X2" s="10" t="s">
        <v>103</v>
      </c>
      <c r="Y2" s="14" t="s">
        <v>112</v>
      </c>
      <c r="Z2" s="14" t="s">
        <v>103</v>
      </c>
      <c r="AA2" s="11" t="s">
        <v>112</v>
      </c>
      <c r="AB2" s="32" t="s">
        <v>103</v>
      </c>
      <c r="AC2" s="22" t="s">
        <v>112</v>
      </c>
      <c r="AD2" s="32" t="s">
        <v>103</v>
      </c>
      <c r="AE2" s="22" t="s">
        <v>112</v>
      </c>
      <c r="AF2" s="38" t="s">
        <v>136</v>
      </c>
      <c r="AG2" s="23" t="str">
        <f>T2</f>
        <v>Current</v>
      </c>
      <c r="AH2" s="9" t="s">
        <v>111</v>
      </c>
      <c r="AI2" s="30"/>
      <c r="AJ2" t="s">
        <v>115</v>
      </c>
      <c r="AK2" t="s">
        <v>137</v>
      </c>
      <c r="AL2" t="s">
        <v>138</v>
      </c>
      <c r="AM2" s="1" t="s">
        <v>115</v>
      </c>
      <c r="AN2" s="1" t="s">
        <v>137</v>
      </c>
      <c r="AO2" s="1" t="s">
        <v>138</v>
      </c>
    </row>
    <row r="3" spans="1:41" x14ac:dyDescent="0.25">
      <c r="A3" s="92">
        <f t="shared" ref="A3:A34" ca="1" si="0">RANK(P3,P$3:P$80,0)</f>
        <v>1</v>
      </c>
      <c r="B3" s="93">
        <v>74</v>
      </c>
      <c r="C3">
        <f>MATCH(B3,Inputs!$A$4:$A$81,0)</f>
        <v>67</v>
      </c>
      <c r="D3" t="str">
        <f>INDEX(Inputs!$A$4:$AD$81,Model!$C3,D$90)</f>
        <v>Chatham Islands Territory</v>
      </c>
      <c r="E3">
        <f ca="1">INDEX(Inputs!$A$4:$AD$81,Model!$C3,E$90)</f>
        <v>557</v>
      </c>
      <c r="F3">
        <f>INDEX(Inputs!$A$4:$AD$81,Model!$C3,F$90)</f>
        <v>975.58477508650515</v>
      </c>
      <c r="G3">
        <f ca="1">INDEX(Inputs!$A$4:$AD$81,Model!$C3,G$90)</f>
        <v>1.248185793711957E-6</v>
      </c>
      <c r="H3" s="10">
        <f t="shared" ref="H3:H34" ca="1" si="1">STANDARDIZE(E3,E$87,E$88)</f>
        <v>-0.55603051274274928</v>
      </c>
      <c r="I3" s="14">
        <f t="shared" ref="I3:I34" si="2">STANDARDIZE(F3,F$87,F$88)</f>
        <v>-0.64194413921127325</v>
      </c>
      <c r="J3" s="14">
        <f t="shared" ref="J3:J34" ca="1" si="3">STANDARDIZE(G3,G$87,G$88)</f>
        <v>6.7971314601525545</v>
      </c>
      <c r="K3" s="10">
        <f t="shared" ref="K3:K34" ca="1" si="4">IF(E$91=0,0,E$92*IF(E$91&lt;0,H3-H$82,H$83-H3))</f>
        <v>7.1671540348313227</v>
      </c>
      <c r="L3" s="14">
        <f t="shared" ref="L3:L34" si="5">IF(F$91=0,0,F$92*IF(F$91&lt;0,I3-I$82,I$83-I3))</f>
        <v>1.3256013130762263</v>
      </c>
      <c r="M3" s="14">
        <f t="shared" ref="M3:M34" ca="1" si="6">IF(G$91=0,0,G$92*IF(G$91&lt;0,J3-J$82,J$83-J3))</f>
        <v>7.6914953957092616</v>
      </c>
      <c r="N3" s="14">
        <f t="shared" ref="N3:N34" ca="1" si="7">SUM(K3:M3)</f>
        <v>16.184250743616811</v>
      </c>
      <c r="O3" s="14">
        <f ca="1">(N3-N$82)/N$84</f>
        <v>1</v>
      </c>
      <c r="P3" s="11">
        <f ca="1">N3-N$85</f>
        <v>6.9111561023975341</v>
      </c>
      <c r="S3" s="26">
        <f t="shared" ref="S3:S34" ca="1" si="8">MAX(IF(B3=74,$R$11,$R$12),MIN($R$10,$R$12+$R$15*P3))</f>
        <v>0.85</v>
      </c>
      <c r="T3" s="18">
        <f ca="1">INDEX(Inputs!BU$4:BU$81,Model!$C3)</f>
        <v>0.85</v>
      </c>
      <c r="U3" s="10">
        <f>INDEX(Inputs!Z$4:Z$81,Model!$C3)</f>
        <v>16048751</v>
      </c>
      <c r="V3" s="14">
        <f>INDEX(Inputs!AA$4:AA$81,Model!$C3)</f>
        <v>14302704</v>
      </c>
      <c r="W3" s="11">
        <f>INDEX(Inputs!AB$4:AB$81,Model!$C3)</f>
        <v>1746047</v>
      </c>
      <c r="X3" s="10">
        <f t="shared" ref="X3:X34" ca="1" si="9">U3*S3</f>
        <v>13641438.35</v>
      </c>
      <c r="Y3" s="14">
        <f t="shared" ref="Y3:Y34" ca="1" si="10">U3-X3</f>
        <v>2407312.6500000004</v>
      </c>
      <c r="Z3" s="14">
        <f t="shared" ref="Z3:Z34" ca="1" si="11">X3-V3</f>
        <v>-661265.65000000037</v>
      </c>
      <c r="AA3" s="11">
        <f t="shared" ref="AA3:AA34" ca="1" si="12">Y3-W3</f>
        <v>661265.65000000037</v>
      </c>
      <c r="AB3" s="33">
        <f ca="1">Z3/V3</f>
        <v>-4.6233610791358078E-2</v>
      </c>
      <c r="AC3" s="34">
        <f ca="1">AA3/W3</f>
        <v>0.37872156362343073</v>
      </c>
      <c r="AD3" s="26">
        <f ca="1">Z3/Z$81</f>
        <v>7.3093134500402765E-2</v>
      </c>
      <c r="AE3" s="18">
        <f ca="1">AA3/AA$81</f>
        <v>7.3093134500402765E-2</v>
      </c>
      <c r="AF3" s="8" t="str">
        <f t="shared" ref="AF3:AF34" si="13">D3</f>
        <v>Chatham Islands Territory</v>
      </c>
      <c r="AG3" s="41">
        <f ca="1">ROUND(T3,2)</f>
        <v>0.85</v>
      </c>
      <c r="AH3" s="40">
        <f ca="1">ROUND(S3,2)</f>
        <v>0.85</v>
      </c>
      <c r="AJ3">
        <f ca="1">MIN(V3,X3)</f>
        <v>13641438.35</v>
      </c>
      <c r="AK3">
        <f ca="1">X3-AJ3</f>
        <v>0</v>
      </c>
      <c r="AL3">
        <f ca="1">V3-AJ3</f>
        <v>661265.65000000037</v>
      </c>
      <c r="AM3" s="1"/>
      <c r="AN3" s="1"/>
      <c r="AO3" s="1"/>
    </row>
    <row r="4" spans="1:41" x14ac:dyDescent="0.25">
      <c r="A4" s="94">
        <f t="shared" ca="1" si="0"/>
        <v>2</v>
      </c>
      <c r="B4" s="95">
        <v>31</v>
      </c>
      <c r="C4">
        <f>MATCH(B4,Inputs!$A$4:$A$81,0)</f>
        <v>25</v>
      </c>
      <c r="D4" t="str">
        <f>INDEX(Inputs!$A$4:$AD$81,Model!$C4,D$90)</f>
        <v>Wairoa District</v>
      </c>
      <c r="E4">
        <f ca="1">INDEX(Inputs!$A$4:$AD$81,Model!$C4,E$90)</f>
        <v>6623</v>
      </c>
      <c r="F4">
        <f>INDEX(Inputs!$A$4:$AD$81,Model!$C4,F$90)</f>
        <v>1099.1204060203011</v>
      </c>
      <c r="G4">
        <f ca="1">INDEX(Inputs!$A$4:$AD$81,Model!$C4,G$90)</f>
        <v>4.722103126250067E-7</v>
      </c>
      <c r="H4" s="10">
        <f t="shared" ca="1" si="1"/>
        <v>-0.47486429063636315</v>
      </c>
      <c r="I4" s="14">
        <f t="shared" si="2"/>
        <v>2.308035649817652</v>
      </c>
      <c r="J4" s="14">
        <f t="shared" ca="1" si="3"/>
        <v>1.9727356543569907</v>
      </c>
      <c r="K4" s="10">
        <f t="shared" ca="1" si="4"/>
        <v>7.0859878127249365</v>
      </c>
      <c r="L4" s="14">
        <f t="shared" si="5"/>
        <v>4.2755811021051517</v>
      </c>
      <c r="M4" s="14">
        <f t="shared" ca="1" si="6"/>
        <v>2.867099589913698</v>
      </c>
      <c r="N4" s="14">
        <f t="shared" ca="1" si="7"/>
        <v>14.228668504743785</v>
      </c>
      <c r="O4" s="14">
        <f t="shared" ref="O4:O67" ca="1" si="14">(N4-N$82)/N$84</f>
        <v>0.86346712266347569</v>
      </c>
      <c r="P4" s="11">
        <f t="shared" ref="P4:P67" ca="1" si="15">N4-N$85</f>
        <v>4.9555738635245081</v>
      </c>
      <c r="S4" s="26">
        <f t="shared" ca="1" si="8"/>
        <v>0.75</v>
      </c>
      <c r="T4" s="18">
        <f ca="1">INDEX(Inputs!BU$4:BU$81,Model!$C4)</f>
        <v>0.75</v>
      </c>
      <c r="U4" s="10">
        <f>INDEX(Inputs!Z$4:Z$81,Model!$C4)</f>
        <v>30184439</v>
      </c>
      <c r="V4" s="14">
        <f>INDEX(Inputs!AA$4:AA$81,Model!$C4)</f>
        <v>20641396</v>
      </c>
      <c r="W4" s="11">
        <f>INDEX(Inputs!AB$4:AB$81,Model!$C4)</f>
        <v>9543043</v>
      </c>
      <c r="X4" s="10">
        <f t="shared" ca="1" si="9"/>
        <v>22638329.25</v>
      </c>
      <c r="Y4" s="14">
        <f t="shared" ca="1" si="10"/>
        <v>7546109.75</v>
      </c>
      <c r="Z4" s="14">
        <f t="shared" ca="1" si="11"/>
        <v>1996933.25</v>
      </c>
      <c r="AA4" s="11">
        <f t="shared" ca="1" si="12"/>
        <v>-1996933.25</v>
      </c>
      <c r="AB4" s="33">
        <f t="shared" ref="AB4:AB67" ca="1" si="16">Z4/V4</f>
        <v>9.6744098606508983E-2</v>
      </c>
      <c r="AC4" s="34">
        <f t="shared" ref="AC4:AC67" ca="1" si="17">AA4/W4</f>
        <v>-0.20925539683725622</v>
      </c>
      <c r="AD4" s="26">
        <f t="shared" ref="AD4:AD67" ca="1" si="18">Z4/Z$81</f>
        <v>-0.22073142712097074</v>
      </c>
      <c r="AE4" s="18">
        <f t="shared" ref="AE4:AE67" ca="1" si="19">AA4/AA$81</f>
        <v>-0.22073142712097074</v>
      </c>
      <c r="AF4" s="10" t="str">
        <f t="shared" si="13"/>
        <v>Wairoa District</v>
      </c>
      <c r="AG4" s="42">
        <f t="shared" ref="AG4:AG67" ca="1" si="20">ROUND(T4,2)</f>
        <v>0.75</v>
      </c>
      <c r="AH4" s="18">
        <f t="shared" ref="AH4:AH67" ca="1" si="21">ROUND(S4,2)</f>
        <v>0.75</v>
      </c>
      <c r="AI4" s="1"/>
      <c r="AJ4" s="1"/>
      <c r="AK4" s="1"/>
      <c r="AL4" s="1"/>
      <c r="AM4">
        <f ca="1">MIN(W3,Y3)</f>
        <v>1746047</v>
      </c>
      <c r="AN4">
        <f ca="1">Y3-AM4</f>
        <v>661265.65000000037</v>
      </c>
      <c r="AO4" s="1">
        <f ca="1">W3-AM4</f>
        <v>0</v>
      </c>
    </row>
    <row r="5" spans="1:41" x14ac:dyDescent="0.25">
      <c r="A5" s="94">
        <f t="shared" ca="1" si="0"/>
        <v>3</v>
      </c>
      <c r="B5" s="95">
        <v>22</v>
      </c>
      <c r="C5">
        <f>MATCH(B5,Inputs!$A$4:$A$81,0)</f>
        <v>16</v>
      </c>
      <c r="D5" t="str">
        <f>INDEX(Inputs!$A$4:$AD$81,Model!$C5,D$90)</f>
        <v>Opotiki District</v>
      </c>
      <c r="E5">
        <f ca="1">INDEX(Inputs!$A$4:$AD$81,Model!$C5,E$90)</f>
        <v>5566</v>
      </c>
      <c r="F5">
        <f>INDEX(Inputs!$A$4:$AD$81,Model!$C5,F$90)</f>
        <v>1145.6655439541933</v>
      </c>
      <c r="G5">
        <f ca="1">INDEX(Inputs!$A$4:$AD$81,Model!$C5,G$90)</f>
        <v>1.7518033651809044E-7</v>
      </c>
      <c r="H5" s="10">
        <f t="shared" ca="1" si="1"/>
        <v>-0.48900749814814193</v>
      </c>
      <c r="I5" s="14">
        <f t="shared" si="2"/>
        <v>3.4195142988895944</v>
      </c>
      <c r="J5" s="14">
        <f t="shared" ca="1" si="3"/>
        <v>0.12604048698070008</v>
      </c>
      <c r="K5" s="10">
        <f t="shared" ca="1" si="4"/>
        <v>7.1001310202367156</v>
      </c>
      <c r="L5" s="14">
        <f t="shared" si="5"/>
        <v>5.3870597511770937</v>
      </c>
      <c r="M5" s="14">
        <f t="shared" ca="1" si="6"/>
        <v>1.0204044225374074</v>
      </c>
      <c r="N5" s="14">
        <f t="shared" ca="1" si="7"/>
        <v>13.507595193951216</v>
      </c>
      <c r="O5" s="14">
        <f t="shared" ca="1" si="14"/>
        <v>0.81312395021278971</v>
      </c>
      <c r="P5" s="11">
        <f t="shared" ca="1" si="15"/>
        <v>4.234500552731939</v>
      </c>
      <c r="S5" s="26">
        <f t="shared" ca="1" si="8"/>
        <v>0.75</v>
      </c>
      <c r="T5" s="18">
        <f ca="1">INDEX(Inputs!BU$4:BU$81,Model!$C5)</f>
        <v>0.75</v>
      </c>
      <c r="U5" s="10">
        <f>INDEX(Inputs!Z$4:Z$81,Model!$C5)</f>
        <v>8744170</v>
      </c>
      <c r="V5" s="14">
        <f>INDEX(Inputs!AA$4:AA$81,Model!$C5)</f>
        <v>4477618</v>
      </c>
      <c r="W5" s="11">
        <f>INDEX(Inputs!AB$4:AB$81,Model!$C5)</f>
        <v>4266552</v>
      </c>
      <c r="X5" s="10">
        <f t="shared" ca="1" si="9"/>
        <v>6558127.5</v>
      </c>
      <c r="Y5" s="14">
        <f t="shared" ca="1" si="10"/>
        <v>2186042.5</v>
      </c>
      <c r="Z5" s="14">
        <f t="shared" ca="1" si="11"/>
        <v>2080509.5</v>
      </c>
      <c r="AA5" s="11">
        <f t="shared" ca="1" si="12"/>
        <v>-2080509.5</v>
      </c>
      <c r="AB5" s="33">
        <f t="shared" ca="1" si="16"/>
        <v>0.46464649284507969</v>
      </c>
      <c r="AC5" s="34">
        <f t="shared" ca="1" si="17"/>
        <v>-0.48763251918645312</v>
      </c>
      <c r="AD5" s="26">
        <f t="shared" ca="1" si="18"/>
        <v>-0.22996954508806805</v>
      </c>
      <c r="AE5" s="18">
        <f t="shared" ca="1" si="19"/>
        <v>-0.22996954508806805</v>
      </c>
      <c r="AF5" s="10" t="str">
        <f t="shared" si="13"/>
        <v>Opotiki District</v>
      </c>
      <c r="AG5" s="42">
        <f t="shared" ca="1" si="20"/>
        <v>0.75</v>
      </c>
      <c r="AH5" s="18">
        <f t="shared" ca="1" si="21"/>
        <v>0.75</v>
      </c>
      <c r="AI5" s="1"/>
      <c r="AJ5" s="1">
        <f ca="1">MIN(V4,X4)</f>
        <v>20641396</v>
      </c>
      <c r="AK5" s="1">
        <f ca="1">X4-AJ5</f>
        <v>1996933.25</v>
      </c>
      <c r="AL5" s="1">
        <f ca="1">V4-AJ5</f>
        <v>0</v>
      </c>
      <c r="AM5" s="1"/>
      <c r="AN5" s="1"/>
      <c r="AO5" s="1"/>
    </row>
    <row r="6" spans="1:41" x14ac:dyDescent="0.25">
      <c r="A6" s="94">
        <f t="shared" ca="1" si="0"/>
        <v>4</v>
      </c>
      <c r="B6" s="95">
        <v>21</v>
      </c>
      <c r="C6">
        <f>MATCH(B6,Inputs!$A$4:$A$81,0)</f>
        <v>15</v>
      </c>
      <c r="D6" t="str">
        <f>INDEX(Inputs!$A$4:$AD$81,Model!$C6,D$90)</f>
        <v>Kawerau District</v>
      </c>
      <c r="E6">
        <f ca="1">INDEX(Inputs!$A$4:$AD$81,Model!$C6,E$90)</f>
        <v>2900</v>
      </c>
      <c r="F6">
        <f>INDEX(Inputs!$A$4:$AD$81,Model!$C6,F$90)</f>
        <v>1148.7324066029539</v>
      </c>
      <c r="G6">
        <f ca="1">INDEX(Inputs!$A$4:$AD$81,Model!$C6,G$90)</f>
        <v>5.9540878929373805E-8</v>
      </c>
      <c r="H6" s="10">
        <f t="shared" ca="1" si="1"/>
        <v>-0.52467995910027276</v>
      </c>
      <c r="I6" s="14">
        <f t="shared" si="2"/>
        <v>3.4927497109013736</v>
      </c>
      <c r="J6" s="14">
        <f t="shared" ca="1" si="3"/>
        <v>-0.59291330443808477</v>
      </c>
      <c r="K6" s="10">
        <f t="shared" ca="1" si="4"/>
        <v>7.1358034811888462</v>
      </c>
      <c r="L6" s="14">
        <f t="shared" si="5"/>
        <v>5.4602951631888734</v>
      </c>
      <c r="M6" s="14">
        <f t="shared" ca="1" si="6"/>
        <v>0.30145063111862247</v>
      </c>
      <c r="N6" s="14">
        <f t="shared" ca="1" si="7"/>
        <v>12.897549275496342</v>
      </c>
      <c r="O6" s="14">
        <f t="shared" ca="1" si="14"/>
        <v>0.7705323767681227</v>
      </c>
      <c r="P6" s="11">
        <f t="shared" ca="1" si="15"/>
        <v>3.6244546342770647</v>
      </c>
      <c r="S6" s="26">
        <f t="shared" ca="1" si="8"/>
        <v>0.75</v>
      </c>
      <c r="T6" s="18">
        <f ca="1">INDEX(Inputs!BU$4:BU$81,Model!$C6)</f>
        <v>0.75</v>
      </c>
      <c r="U6" s="10">
        <f>INDEX(Inputs!Z$4:Z$81,Model!$C6)</f>
        <v>1925358</v>
      </c>
      <c r="V6" s="14">
        <f>INDEX(Inputs!AA$4:AA$81,Model!$C6)</f>
        <v>1298926</v>
      </c>
      <c r="W6" s="11">
        <f>INDEX(Inputs!AB$4:AB$81,Model!$C6)</f>
        <v>626432</v>
      </c>
      <c r="X6" s="10">
        <f t="shared" ca="1" si="9"/>
        <v>1444018.5</v>
      </c>
      <c r="Y6" s="14">
        <f t="shared" ca="1" si="10"/>
        <v>481339.5</v>
      </c>
      <c r="Z6" s="14">
        <f t="shared" ca="1" si="11"/>
        <v>145092.5</v>
      </c>
      <c r="AA6" s="11">
        <f t="shared" ca="1" si="12"/>
        <v>-145092.5</v>
      </c>
      <c r="AB6" s="33">
        <f t="shared" ca="1" si="16"/>
        <v>0.11170189833754963</v>
      </c>
      <c r="AC6" s="34">
        <f t="shared" ca="1" si="17"/>
        <v>-0.23161731840008173</v>
      </c>
      <c r="AD6" s="26">
        <f t="shared" ca="1" si="18"/>
        <v>-1.6037829301279571E-2</v>
      </c>
      <c r="AE6" s="18">
        <f t="shared" ca="1" si="19"/>
        <v>-1.6037829301279571E-2</v>
      </c>
      <c r="AF6" s="10" t="str">
        <f t="shared" si="13"/>
        <v>Kawerau District</v>
      </c>
      <c r="AG6" s="42">
        <f t="shared" ca="1" si="20"/>
        <v>0.75</v>
      </c>
      <c r="AH6" s="18">
        <f t="shared" ca="1" si="21"/>
        <v>0.75</v>
      </c>
      <c r="AI6" s="1"/>
      <c r="AJ6" s="1"/>
      <c r="AK6" s="1"/>
      <c r="AL6" s="1"/>
      <c r="AM6" s="1">
        <f ca="1">MIN(W4,Y4)</f>
        <v>7546109.75</v>
      </c>
      <c r="AN6" s="1">
        <f ca="1">Y4-AM6</f>
        <v>0</v>
      </c>
      <c r="AO6" s="1">
        <f ca="1">W4-AM6</f>
        <v>1996933.25</v>
      </c>
    </row>
    <row r="7" spans="1:41" x14ac:dyDescent="0.25">
      <c r="A7" s="94">
        <f t="shared" ca="1" si="0"/>
        <v>5</v>
      </c>
      <c r="B7" s="95">
        <v>20</v>
      </c>
      <c r="C7">
        <f>MATCH(B7,Inputs!$A$4:$A$81,0)</f>
        <v>14</v>
      </c>
      <c r="D7" t="str">
        <f>INDEX(Inputs!$A$4:$AD$81,Model!$C7,D$90)</f>
        <v>Waitomo District</v>
      </c>
      <c r="E7">
        <f ca="1">INDEX(Inputs!$A$4:$AD$81,Model!$C7,E$90)</f>
        <v>5573</v>
      </c>
      <c r="F7">
        <f>INDEX(Inputs!$A$4:$AD$81,Model!$C7,F$90)</f>
        <v>1051.6662480376765</v>
      </c>
      <c r="G7">
        <f ca="1">INDEX(Inputs!$A$4:$AD$81,Model!$C7,G$90)</f>
        <v>3.5445537256025634E-7</v>
      </c>
      <c r="H7" s="10">
        <f t="shared" ca="1" si="1"/>
        <v>-0.48891383452223613</v>
      </c>
      <c r="I7" s="14">
        <f t="shared" si="2"/>
        <v>1.1748499778300323</v>
      </c>
      <c r="J7" s="14">
        <f t="shared" ca="1" si="3"/>
        <v>1.2406294824399005</v>
      </c>
      <c r="K7" s="10">
        <f t="shared" ca="1" si="4"/>
        <v>7.1000373566108097</v>
      </c>
      <c r="L7" s="14">
        <f t="shared" si="5"/>
        <v>3.1423954301175319</v>
      </c>
      <c r="M7" s="14">
        <f t="shared" ca="1" si="6"/>
        <v>2.1349934179966077</v>
      </c>
      <c r="N7" s="14">
        <f t="shared" ca="1" si="7"/>
        <v>12.37742620472495</v>
      </c>
      <c r="O7" s="14">
        <f t="shared" ca="1" si="14"/>
        <v>0.73421894641990526</v>
      </c>
      <c r="P7" s="11">
        <f t="shared" ca="1" si="15"/>
        <v>3.1043315635056725</v>
      </c>
      <c r="S7" s="26">
        <f t="shared" ca="1" si="8"/>
        <v>0.72699277628904646</v>
      </c>
      <c r="T7" s="18">
        <f ca="1">INDEX(Inputs!BU$4:BU$81,Model!$C7)</f>
        <v>0.71</v>
      </c>
      <c r="U7" s="10">
        <f>INDEX(Inputs!Z$4:Z$81,Model!$C7)</f>
        <v>30471210</v>
      </c>
      <c r="V7" s="14">
        <f>INDEX(Inputs!AA$4:AA$81,Model!$C7)</f>
        <v>17892241</v>
      </c>
      <c r="W7" s="11">
        <f>INDEX(Inputs!AB$4:AB$81,Model!$C7)</f>
        <v>12578969</v>
      </c>
      <c r="X7" s="10">
        <f t="shared" ca="1" si="9"/>
        <v>22152349.554786555</v>
      </c>
      <c r="Y7" s="14">
        <f t="shared" ca="1" si="10"/>
        <v>8318860.4452134445</v>
      </c>
      <c r="Z7" s="14">
        <f t="shared" ca="1" si="11"/>
        <v>4260108.5547865555</v>
      </c>
      <c r="AA7" s="11">
        <f t="shared" ca="1" si="12"/>
        <v>-4260108.5547865555</v>
      </c>
      <c r="AB7" s="33">
        <f t="shared" ca="1" si="16"/>
        <v>0.23809809820841088</v>
      </c>
      <c r="AC7" s="34">
        <f t="shared" ca="1" si="17"/>
        <v>-0.33866913534698712</v>
      </c>
      <c r="AD7" s="26">
        <f t="shared" ca="1" si="18"/>
        <v>-0.47089197447550762</v>
      </c>
      <c r="AE7" s="18">
        <f t="shared" ca="1" si="19"/>
        <v>-0.47089197447550762</v>
      </c>
      <c r="AF7" s="10" t="str">
        <f t="shared" si="13"/>
        <v>Waitomo District</v>
      </c>
      <c r="AG7" s="42">
        <f t="shared" ca="1" si="20"/>
        <v>0.71</v>
      </c>
      <c r="AH7" s="18">
        <f t="shared" ca="1" si="21"/>
        <v>0.73</v>
      </c>
      <c r="AI7" s="1"/>
      <c r="AJ7" s="1">
        <f ca="1">MIN(V5,X5)</f>
        <v>4477618</v>
      </c>
      <c r="AK7" s="1">
        <f ca="1">X5-AJ7</f>
        <v>2080509.5</v>
      </c>
      <c r="AL7" s="1">
        <f ca="1">V5-AJ7</f>
        <v>0</v>
      </c>
      <c r="AM7" s="1"/>
      <c r="AN7" s="1"/>
      <c r="AO7" s="1"/>
    </row>
    <row r="8" spans="1:41" x14ac:dyDescent="0.25">
      <c r="A8" s="94">
        <f t="shared" ca="1" si="0"/>
        <v>6</v>
      </c>
      <c r="B8" s="95">
        <v>39</v>
      </c>
      <c r="C8">
        <f>MATCH(B8,Inputs!$A$4:$A$81,0)</f>
        <v>33</v>
      </c>
      <c r="D8" t="str">
        <f>INDEX(Inputs!$A$4:$AD$81,Model!$C8,D$90)</f>
        <v>Ruapehu District</v>
      </c>
      <c r="E8">
        <f ca="1">INDEX(Inputs!$A$4:$AD$81,Model!$C8,E$90)</f>
        <v>8981</v>
      </c>
      <c r="F8">
        <f>INDEX(Inputs!$A$4:$AD$81,Model!$C8,F$90)</f>
        <v>1058.4324503311259</v>
      </c>
      <c r="G8">
        <f ca="1">INDEX(Inputs!$A$4:$AD$81,Model!$C8,G$90)</f>
        <v>3.293479270545726E-7</v>
      </c>
      <c r="H8" s="10">
        <f t="shared" ca="1" si="1"/>
        <v>-0.44331302922408838</v>
      </c>
      <c r="I8" s="14">
        <f t="shared" si="2"/>
        <v>1.3364240910091989</v>
      </c>
      <c r="J8" s="14">
        <f t="shared" ca="1" si="3"/>
        <v>1.0845314384370275</v>
      </c>
      <c r="K8" s="10">
        <f t="shared" ca="1" si="4"/>
        <v>7.0544365513126621</v>
      </c>
      <c r="L8" s="14">
        <f t="shared" si="5"/>
        <v>3.3039695432966987</v>
      </c>
      <c r="M8" s="14">
        <f t="shared" ca="1" si="6"/>
        <v>1.9788953739937347</v>
      </c>
      <c r="N8" s="14">
        <f t="shared" ca="1" si="7"/>
        <v>12.337301468603096</v>
      </c>
      <c r="O8" s="14">
        <f t="shared" ca="1" si="14"/>
        <v>0.73141755787884211</v>
      </c>
      <c r="P8" s="11">
        <f t="shared" ca="1" si="15"/>
        <v>3.0642068273838188</v>
      </c>
      <c r="S8" s="26">
        <f t="shared" ca="1" si="8"/>
        <v>0.72418805723412893</v>
      </c>
      <c r="T8" s="18">
        <f ca="1">INDEX(Inputs!BU$4:BU$81,Model!$C8)</f>
        <v>0.72</v>
      </c>
      <c r="U8" s="10">
        <f>INDEX(Inputs!Z$4:Z$81,Model!$C8)</f>
        <v>43246985</v>
      </c>
      <c r="V8" s="14">
        <f>INDEX(Inputs!AA$4:AA$81,Model!$C8)</f>
        <v>28714642</v>
      </c>
      <c r="W8" s="11">
        <f>INDEX(Inputs!AB$4:AB$81,Model!$C8)</f>
        <v>14532343</v>
      </c>
      <c r="X8" s="10">
        <f t="shared" ca="1" si="9"/>
        <v>31318950.048383515</v>
      </c>
      <c r="Y8" s="14">
        <f t="shared" ca="1" si="10"/>
        <v>11928034.951616485</v>
      </c>
      <c r="Z8" s="14">
        <f t="shared" ca="1" si="11"/>
        <v>2604308.0483835153</v>
      </c>
      <c r="AA8" s="11">
        <f t="shared" ca="1" si="12"/>
        <v>-2604308.0483835153</v>
      </c>
      <c r="AB8" s="33">
        <f t="shared" ca="1" si="16"/>
        <v>9.069616986287049E-2</v>
      </c>
      <c r="AC8" s="34">
        <f t="shared" ca="1" si="17"/>
        <v>-0.17920771952489115</v>
      </c>
      <c r="AD8" s="26">
        <f t="shared" ca="1" si="18"/>
        <v>-0.28786772526438897</v>
      </c>
      <c r="AE8" s="18">
        <f t="shared" ca="1" si="19"/>
        <v>-0.28786772526438897</v>
      </c>
      <c r="AF8" s="10" t="str">
        <f t="shared" si="13"/>
        <v>Ruapehu District</v>
      </c>
      <c r="AG8" s="42">
        <f t="shared" ca="1" si="20"/>
        <v>0.72</v>
      </c>
      <c r="AH8" s="18">
        <f t="shared" ca="1" si="21"/>
        <v>0.72</v>
      </c>
      <c r="AI8" s="1"/>
      <c r="AJ8" s="1"/>
      <c r="AK8" s="1"/>
      <c r="AL8" s="1"/>
      <c r="AM8" s="1">
        <f ca="1">MIN(W5,Y5)</f>
        <v>2186042.5</v>
      </c>
      <c r="AN8" s="1">
        <f ca="1">Y5-AM8</f>
        <v>0</v>
      </c>
      <c r="AO8" s="1">
        <f ca="1">W5-AM8</f>
        <v>2080509.5</v>
      </c>
    </row>
    <row r="9" spans="1:41" x14ac:dyDescent="0.25">
      <c r="A9" s="94">
        <f t="shared" ca="1" si="0"/>
        <v>7</v>
      </c>
      <c r="B9" s="95">
        <v>27</v>
      </c>
      <c r="C9">
        <f>MATCH(B9,Inputs!$A$4:$A$81,0)</f>
        <v>21</v>
      </c>
      <c r="D9" t="str">
        <f>INDEX(Inputs!$A$4:$AD$81,Model!$C9,D$90)</f>
        <v>Gisborne District</v>
      </c>
      <c r="E9">
        <f ca="1">INDEX(Inputs!$A$4:$AD$81,Model!$C9,E$90)</f>
        <v>23808</v>
      </c>
      <c r="F9">
        <f>INDEX(Inputs!$A$4:$AD$81,Model!$C9,F$90)</f>
        <v>1077.2893648749407</v>
      </c>
      <c r="G9">
        <f ca="1">INDEX(Inputs!$A$4:$AD$81,Model!$C9,G$90)</f>
        <v>1.8070539411087225E-7</v>
      </c>
      <c r="H9" s="10">
        <f t="shared" ca="1" si="1"/>
        <v>-0.24492008903757539</v>
      </c>
      <c r="I9" s="14">
        <f t="shared" si="2"/>
        <v>1.7867194136397253</v>
      </c>
      <c r="J9" s="14">
        <f t="shared" ca="1" si="3"/>
        <v>0.16039088248554043</v>
      </c>
      <c r="K9" s="10">
        <f t="shared" ca="1" si="4"/>
        <v>6.8560436111261485</v>
      </c>
      <c r="L9" s="14">
        <f t="shared" si="5"/>
        <v>3.7542648659272251</v>
      </c>
      <c r="M9" s="14">
        <f t="shared" ca="1" si="6"/>
        <v>1.0547548180422477</v>
      </c>
      <c r="N9" s="14">
        <f t="shared" ca="1" si="7"/>
        <v>11.665063295095621</v>
      </c>
      <c r="O9" s="14">
        <f t="shared" ca="1" si="14"/>
        <v>0.68448390801233572</v>
      </c>
      <c r="P9" s="11">
        <f t="shared" ca="1" si="15"/>
        <v>2.3919686538763436</v>
      </c>
      <c r="Q9" s="1" t="s">
        <v>108</v>
      </c>
      <c r="R9" s="15"/>
      <c r="S9" s="26">
        <f t="shared" ca="1" si="8"/>
        <v>0.6771986089059564</v>
      </c>
      <c r="T9" s="18">
        <f ca="1">INDEX(Inputs!BU$4:BU$81,Model!$C9)</f>
        <v>0.67</v>
      </c>
      <c r="U9" s="10">
        <f>INDEX(Inputs!Z$4:Z$81,Model!$C9)</f>
        <v>82019040</v>
      </c>
      <c r="V9" s="14">
        <f>INDEX(Inputs!AA$4:AA$81,Model!$C9)</f>
        <v>48898923</v>
      </c>
      <c r="W9" s="11">
        <f>INDEX(Inputs!AB$4:AB$81,Model!$C9)</f>
        <v>33120117</v>
      </c>
      <c r="X9" s="10">
        <f t="shared" ca="1" si="9"/>
        <v>55543179.791801997</v>
      </c>
      <c r="Y9" s="14">
        <f t="shared" ca="1" si="10"/>
        <v>26475860.208198003</v>
      </c>
      <c r="Z9" s="14">
        <f t="shared" ca="1" si="11"/>
        <v>6644256.7918019965</v>
      </c>
      <c r="AA9" s="11">
        <f t="shared" ca="1" si="12"/>
        <v>-6644256.7918019965</v>
      </c>
      <c r="AB9" s="33">
        <f t="shared" ca="1" si="16"/>
        <v>0.13587736465692704</v>
      </c>
      <c r="AC9" s="34">
        <f t="shared" ca="1" si="17"/>
        <v>-0.20061090943012055</v>
      </c>
      <c r="AD9" s="26">
        <f t="shared" ca="1" si="18"/>
        <v>-0.73442428975162644</v>
      </c>
      <c r="AE9" s="18">
        <f t="shared" ca="1" si="19"/>
        <v>-0.73442428975162644</v>
      </c>
      <c r="AF9" s="10" t="str">
        <f t="shared" si="13"/>
        <v>Gisborne District</v>
      </c>
      <c r="AG9" s="42">
        <f t="shared" ca="1" si="20"/>
        <v>0.67</v>
      </c>
      <c r="AH9" s="18">
        <f t="shared" ca="1" si="21"/>
        <v>0.68</v>
      </c>
      <c r="AI9" s="1"/>
      <c r="AJ9" s="1">
        <f ca="1">MIN(V6,X6)</f>
        <v>1298926</v>
      </c>
      <c r="AK9" s="1">
        <f ca="1">X6-AJ9</f>
        <v>145092.5</v>
      </c>
      <c r="AL9" s="1">
        <f ca="1">V6-AJ9</f>
        <v>0</v>
      </c>
      <c r="AM9" s="1"/>
      <c r="AN9" s="1"/>
      <c r="AO9" s="1"/>
    </row>
    <row r="10" spans="1:41" x14ac:dyDescent="0.25">
      <c r="A10" s="94">
        <f t="shared" ca="1" si="0"/>
        <v>8</v>
      </c>
      <c r="B10" s="95">
        <v>40</v>
      </c>
      <c r="C10">
        <f>MATCH(B10,Inputs!$A$4:$A$81,0)</f>
        <v>34</v>
      </c>
      <c r="D10" t="str">
        <f>INDEX(Inputs!$A$4:$AD$81,Model!$C10,D$90)</f>
        <v>Tararua District</v>
      </c>
      <c r="E10">
        <f ca="1">INDEX(Inputs!$A$4:$AD$81,Model!$C10,E$90)</f>
        <v>10580</v>
      </c>
      <c r="F10">
        <f>INDEX(Inputs!$A$4:$AD$81,Model!$C10,F$90)</f>
        <v>1009.4808649390767</v>
      </c>
      <c r="G10">
        <f ca="1">INDEX(Inputs!$A$4:$AD$81,Model!$C10,G$90)</f>
        <v>3.7402755679163032E-7</v>
      </c>
      <c r="H10" s="10">
        <f t="shared" ca="1" si="1"/>
        <v>-0.42191758096360182</v>
      </c>
      <c r="I10" s="14">
        <f t="shared" si="2"/>
        <v>0.16748047161846977</v>
      </c>
      <c r="J10" s="14">
        <f t="shared" ca="1" si="3"/>
        <v>1.3623136925953991</v>
      </c>
      <c r="K10" s="10">
        <f t="shared" ca="1" si="4"/>
        <v>7.0330411030521756</v>
      </c>
      <c r="L10" s="14">
        <f t="shared" si="5"/>
        <v>2.1350259239059692</v>
      </c>
      <c r="M10" s="14">
        <f t="shared" ca="1" si="6"/>
        <v>2.2566776281521062</v>
      </c>
      <c r="N10" s="14">
        <f t="shared" ca="1" si="7"/>
        <v>11.424744655110251</v>
      </c>
      <c r="O10" s="14">
        <f t="shared" ca="1" si="14"/>
        <v>0.66770558248729328</v>
      </c>
      <c r="P10" s="11">
        <f t="shared" ca="1" si="15"/>
        <v>2.1516500138909738</v>
      </c>
      <c r="Q10" s="1" t="s">
        <v>92</v>
      </c>
      <c r="R10" s="15">
        <f>Calculation!B12</f>
        <v>0.75</v>
      </c>
      <c r="S10" s="26">
        <f t="shared" ca="1" si="8"/>
        <v>0.66040033597097914</v>
      </c>
      <c r="T10" s="18">
        <f ca="1">INDEX(Inputs!BU$4:BU$81,Model!$C10)</f>
        <v>0.65</v>
      </c>
      <c r="U10" s="10">
        <f>INDEX(Inputs!Z$4:Z$81,Model!$C10)</f>
        <v>43828229</v>
      </c>
      <c r="V10" s="14">
        <f>INDEX(Inputs!AA$4:AA$81,Model!$C10)</f>
        <v>26544282</v>
      </c>
      <c r="W10" s="11">
        <f>INDEX(Inputs!AB$4:AB$81,Model!$C10)</f>
        <v>17283947</v>
      </c>
      <c r="X10" s="10">
        <f t="shared" ca="1" si="9"/>
        <v>28944177.156613011</v>
      </c>
      <c r="Y10" s="14">
        <f t="shared" ca="1" si="10"/>
        <v>14884051.843386989</v>
      </c>
      <c r="Z10" s="14">
        <f t="shared" ca="1" si="11"/>
        <v>2399895.1566130109</v>
      </c>
      <c r="AA10" s="11">
        <f t="shared" ca="1" si="12"/>
        <v>-2399895.1566130109</v>
      </c>
      <c r="AB10" s="33">
        <f t="shared" ca="1" si="16"/>
        <v>9.0411002889926012E-2</v>
      </c>
      <c r="AC10" s="34">
        <f t="shared" ca="1" si="17"/>
        <v>-0.13885110597787709</v>
      </c>
      <c r="AD10" s="26">
        <f t="shared" ca="1" si="18"/>
        <v>-0.26527290426953204</v>
      </c>
      <c r="AE10" s="18">
        <f t="shared" ca="1" si="19"/>
        <v>-0.26527290426953204</v>
      </c>
      <c r="AF10" s="10" t="str">
        <f t="shared" si="13"/>
        <v>Tararua District</v>
      </c>
      <c r="AG10" s="42">
        <f t="shared" ca="1" si="20"/>
        <v>0.65</v>
      </c>
      <c r="AH10" s="18">
        <f t="shared" ca="1" si="21"/>
        <v>0.66</v>
      </c>
      <c r="AI10" s="1"/>
      <c r="AJ10" s="1"/>
      <c r="AK10" s="1"/>
      <c r="AL10" s="1"/>
      <c r="AM10" s="1">
        <f ca="1">MIN(W6,Y6)</f>
        <v>481339.5</v>
      </c>
      <c r="AN10" s="1">
        <f ca="1">Y6-AM10</f>
        <v>0</v>
      </c>
      <c r="AO10" s="1">
        <f ca="1">W6-AM10</f>
        <v>145092.5</v>
      </c>
    </row>
    <row r="11" spans="1:41" x14ac:dyDescent="0.25">
      <c r="A11" s="94">
        <f t="shared" ca="1" si="0"/>
        <v>9</v>
      </c>
      <c r="B11" s="95">
        <v>1</v>
      </c>
      <c r="C11">
        <f>MATCH(B11,Inputs!$A$4:$A$81,0)</f>
        <v>1</v>
      </c>
      <c r="D11" t="str">
        <f>INDEX(Inputs!$A$4:$AD$81,Model!$C11,D$90)</f>
        <v>Far North District</v>
      </c>
      <c r="E11">
        <f ca="1">INDEX(Inputs!$A$4:$AD$81,Model!$C11,E$90)</f>
        <v>36266</v>
      </c>
      <c r="F11">
        <f>INDEX(Inputs!$A$4:$AD$81,Model!$C11,F$90)</f>
        <v>1076.2095074209508</v>
      </c>
      <c r="G11">
        <f ca="1">INDEX(Inputs!$A$4:$AD$81,Model!$C11,G$90)</f>
        <v>1.7212884086430551E-7</v>
      </c>
      <c r="H11" s="10">
        <f t="shared" ca="1" si="1"/>
        <v>-7.8225595961189137E-2</v>
      </c>
      <c r="I11" s="14">
        <f t="shared" si="2"/>
        <v>1.7609328641218001</v>
      </c>
      <c r="J11" s="14">
        <f t="shared" ca="1" si="3"/>
        <v>0.10706872409342166</v>
      </c>
      <c r="K11" s="10">
        <f t="shared" ca="1" si="4"/>
        <v>6.6893491180497628</v>
      </c>
      <c r="L11" s="14">
        <f t="shared" si="5"/>
        <v>3.7284783164092996</v>
      </c>
      <c r="M11" s="14">
        <f t="shared" ca="1" si="6"/>
        <v>1.0014326596501288</v>
      </c>
      <c r="N11" s="14">
        <f t="shared" ca="1" si="7"/>
        <v>11.419260094109193</v>
      </c>
      <c r="O11" s="14">
        <f t="shared" ca="1" si="14"/>
        <v>0.66732266691385589</v>
      </c>
      <c r="P11" s="11">
        <f t="shared" ca="1" si="15"/>
        <v>2.1461654528899157</v>
      </c>
      <c r="Q11" t="s">
        <v>143</v>
      </c>
      <c r="R11" s="15">
        <f>Calculation!B13</f>
        <v>0.85</v>
      </c>
      <c r="S11" s="26">
        <f t="shared" ca="1" si="8"/>
        <v>0.66001696515700514</v>
      </c>
      <c r="T11" s="18">
        <f ca="1">INDEX(Inputs!BU$4:BU$81,Model!$C11)</f>
        <v>0.66</v>
      </c>
      <c r="U11" s="10">
        <f ca="1">INDEX(Inputs!Z$4:Z$81,Model!$C11)</f>
        <v>100135634</v>
      </c>
      <c r="V11" s="14">
        <f ca="1">INDEX(Inputs!AA$4:AA$81,Model!$C11)</f>
        <v>59309994</v>
      </c>
      <c r="W11" s="11">
        <f ca="1">INDEX(Inputs!AB$4:AB$81,Model!$C11)</f>
        <v>40825640</v>
      </c>
      <c r="X11" s="10">
        <f t="shared" ca="1" si="9"/>
        <v>66091217.256752618</v>
      </c>
      <c r="Y11" s="14">
        <f t="shared" ca="1" si="10"/>
        <v>34044416.743247382</v>
      </c>
      <c r="Z11" s="14">
        <f t="shared" ca="1" si="11"/>
        <v>6781223.2567526177</v>
      </c>
      <c r="AA11" s="11">
        <f t="shared" ca="1" si="12"/>
        <v>-6781223.2567526177</v>
      </c>
      <c r="AB11" s="33">
        <f t="shared" ca="1" si="16"/>
        <v>0.11433525447250285</v>
      </c>
      <c r="AC11" s="34">
        <f t="shared" ca="1" si="17"/>
        <v>-0.16610206862042132</v>
      </c>
      <c r="AD11" s="26">
        <f t="shared" ca="1" si="18"/>
        <v>-0.74956390609897561</v>
      </c>
      <c r="AE11" s="18">
        <f t="shared" ca="1" si="19"/>
        <v>-0.74956390609897561</v>
      </c>
      <c r="AF11" s="10" t="str">
        <f t="shared" si="13"/>
        <v>Far North District</v>
      </c>
      <c r="AG11" s="42">
        <f t="shared" ca="1" si="20"/>
        <v>0.66</v>
      </c>
      <c r="AH11" s="18">
        <f t="shared" ca="1" si="21"/>
        <v>0.66</v>
      </c>
      <c r="AI11" s="1"/>
      <c r="AJ11" s="1">
        <f ca="1">MIN(V7,X7)</f>
        <v>17892241</v>
      </c>
      <c r="AK11" s="1">
        <f ca="1">X7-AJ11</f>
        <v>4260108.5547865555</v>
      </c>
      <c r="AL11" s="1">
        <f ca="1">V7-AJ11</f>
        <v>0</v>
      </c>
      <c r="AM11" s="1"/>
      <c r="AN11" s="1"/>
      <c r="AO11" s="1"/>
    </row>
    <row r="12" spans="1:41" x14ac:dyDescent="0.25">
      <c r="A12" s="94">
        <f t="shared" ca="1" si="0"/>
        <v>10</v>
      </c>
      <c r="B12" s="95">
        <v>63</v>
      </c>
      <c r="C12">
        <f>MATCH(B12,Inputs!$A$4:$A$81,0)</f>
        <v>56</v>
      </c>
      <c r="D12" t="str">
        <f>INDEX(Inputs!$A$4:$AD$81,Model!$C12,D$90)</f>
        <v>Buller District</v>
      </c>
      <c r="E12">
        <f ca="1">INDEX(Inputs!$A$4:$AD$81,Model!$C12,E$90)</f>
        <v>7325</v>
      </c>
      <c r="F12">
        <f>INDEX(Inputs!$A$4:$AD$81,Model!$C12,F$90)</f>
        <v>1031.9764020839718</v>
      </c>
      <c r="G12">
        <f ca="1">INDEX(Inputs!$A$4:$AD$81,Model!$C12,G$90)</f>
        <v>2.7057947887646717E-7</v>
      </c>
      <c r="H12" s="10">
        <f t="shared" ca="1" si="1"/>
        <v>-0.46547116700980806</v>
      </c>
      <c r="I12" s="14">
        <f t="shared" si="2"/>
        <v>0.70466459751939214</v>
      </c>
      <c r="J12" s="14">
        <f t="shared" ca="1" si="3"/>
        <v>0.71915616329763643</v>
      </c>
      <c r="K12" s="10">
        <f t="shared" ca="1" si="4"/>
        <v>7.0765946890983811</v>
      </c>
      <c r="L12" s="14">
        <f t="shared" si="5"/>
        <v>2.6722100498068917</v>
      </c>
      <c r="M12" s="14">
        <f t="shared" ca="1" si="6"/>
        <v>1.6135200988543437</v>
      </c>
      <c r="N12" s="14">
        <f t="shared" ca="1" si="7"/>
        <v>11.362324837759616</v>
      </c>
      <c r="O12" s="14">
        <f t="shared" ca="1" si="14"/>
        <v>0.6633476183494037</v>
      </c>
      <c r="P12" s="11">
        <f t="shared" ca="1" si="15"/>
        <v>2.0892301965403384</v>
      </c>
      <c r="Q12" s="1" t="s">
        <v>109</v>
      </c>
      <c r="R12" s="15">
        <f>Calculation!B15</f>
        <v>0.51</v>
      </c>
      <c r="S12" s="26">
        <f t="shared" ca="1" si="8"/>
        <v>0.65603719073816968</v>
      </c>
      <c r="T12" s="18">
        <f ca="1">INDEX(Inputs!BU$4:BU$81,Model!$C12)</f>
        <v>0.63</v>
      </c>
      <c r="U12" s="10">
        <f>INDEX(Inputs!Z$4:Z$81,Model!$C12)</f>
        <v>15749286</v>
      </c>
      <c r="V12" s="14">
        <f>INDEX(Inputs!AA$4:AA$81,Model!$C12)</f>
        <v>10472280</v>
      </c>
      <c r="W12" s="11">
        <f>INDEX(Inputs!AB$4:AB$81,Model!$C12)</f>
        <v>5277006</v>
      </c>
      <c r="X12" s="10">
        <f t="shared" ca="1" si="9"/>
        <v>10332117.343571985</v>
      </c>
      <c r="Y12" s="14">
        <f t="shared" ca="1" si="10"/>
        <v>5417168.6564280149</v>
      </c>
      <c r="Z12" s="14">
        <f t="shared" ca="1" si="11"/>
        <v>-140162.65642801486</v>
      </c>
      <c r="AA12" s="11">
        <f t="shared" ca="1" si="12"/>
        <v>140162.65642801486</v>
      </c>
      <c r="AB12" s="33">
        <f t="shared" ca="1" si="16"/>
        <v>-1.3384158600420812E-2</v>
      </c>
      <c r="AC12" s="34">
        <f t="shared" ca="1" si="17"/>
        <v>2.6561018961891433E-2</v>
      </c>
      <c r="AD12" s="26">
        <f t="shared" ca="1" si="18"/>
        <v>1.549290802906007E-2</v>
      </c>
      <c r="AE12" s="18">
        <f t="shared" ca="1" si="19"/>
        <v>1.549290802906007E-2</v>
      </c>
      <c r="AF12" s="10" t="str">
        <f t="shared" si="13"/>
        <v>Buller District</v>
      </c>
      <c r="AG12" s="42">
        <f t="shared" ca="1" si="20"/>
        <v>0.63</v>
      </c>
      <c r="AH12" s="18">
        <f t="shared" ca="1" si="21"/>
        <v>0.66</v>
      </c>
      <c r="AI12" s="1"/>
      <c r="AJ12" s="1"/>
      <c r="AK12" s="1"/>
      <c r="AL12" s="1"/>
      <c r="AM12" s="1">
        <f ca="1">MIN(W7,Y7)</f>
        <v>8318860.4452134445</v>
      </c>
      <c r="AN12" s="1">
        <f ca="1">Y7-AM12</f>
        <v>0</v>
      </c>
      <c r="AO12" s="1">
        <f ca="1">W7-AM12</f>
        <v>4260108.5547865555</v>
      </c>
    </row>
    <row r="13" spans="1:41" x14ac:dyDescent="0.25">
      <c r="A13" s="94">
        <f t="shared" ca="1" si="0"/>
        <v>11</v>
      </c>
      <c r="B13" s="95">
        <v>26</v>
      </c>
      <c r="C13">
        <f>MATCH(B13,Inputs!$A$4:$A$81,0)</f>
        <v>20</v>
      </c>
      <c r="D13" t="str">
        <f>INDEX(Inputs!$A$4:$AD$81,Model!$C13,D$90)</f>
        <v>Whakatane District</v>
      </c>
      <c r="E13">
        <f ca="1">INDEX(Inputs!$A$4:$AD$81,Model!$C13,E$90)</f>
        <v>15709</v>
      </c>
      <c r="F13">
        <f>INDEX(Inputs!$A$4:$AD$81,Model!$C13,F$90)</f>
        <v>1065.8685458612974</v>
      </c>
      <c r="G13">
        <f ca="1">INDEX(Inputs!$A$4:$AD$81,Model!$C13,G$90)</f>
        <v>1.1217840897295221E-7</v>
      </c>
      <c r="H13" s="10">
        <f t="shared" ca="1" si="1"/>
        <v>-0.35328890421060899</v>
      </c>
      <c r="I13" s="14">
        <f t="shared" si="2"/>
        <v>1.5139949777038262</v>
      </c>
      <c r="J13" s="14">
        <f t="shared" ca="1" si="3"/>
        <v>-0.26565518177940961</v>
      </c>
      <c r="K13" s="10">
        <f t="shared" ca="1" si="4"/>
        <v>6.964412426299182</v>
      </c>
      <c r="L13" s="14">
        <f t="shared" si="5"/>
        <v>3.481540429991326</v>
      </c>
      <c r="M13" s="14">
        <f t="shared" ca="1" si="6"/>
        <v>0.62870875377729762</v>
      </c>
      <c r="N13" s="14">
        <f t="shared" ca="1" si="7"/>
        <v>11.074661610067805</v>
      </c>
      <c r="O13" s="14">
        <f t="shared" ca="1" si="14"/>
        <v>0.64326383593414282</v>
      </c>
      <c r="P13" s="11">
        <f t="shared" ca="1" si="15"/>
        <v>1.8015669688485278</v>
      </c>
      <c r="Q13" s="1" t="s">
        <v>110</v>
      </c>
      <c r="R13" s="15">
        <f>Calculation!B14</f>
        <v>0.53</v>
      </c>
      <c r="S13" s="26">
        <f t="shared" ca="1" si="8"/>
        <v>0.63592953112251216</v>
      </c>
      <c r="T13" s="18">
        <f ca="1">INDEX(Inputs!BU$4:BU$81,Model!$C13)</f>
        <v>0.64</v>
      </c>
      <c r="U13" s="10">
        <f>INDEX(Inputs!Z$4:Z$81,Model!$C13)</f>
        <v>38686737</v>
      </c>
      <c r="V13" s="14">
        <f>INDEX(Inputs!AA$4:AA$81,Model!$C13)</f>
        <v>21114629</v>
      </c>
      <c r="W13" s="11">
        <f>INDEX(Inputs!AB$4:AB$81,Model!$C13)</f>
        <v>17572108</v>
      </c>
      <c r="X13" s="10">
        <f t="shared" ca="1" si="9"/>
        <v>24602038.521069944</v>
      </c>
      <c r="Y13" s="14">
        <f t="shared" ca="1" si="10"/>
        <v>14084698.478930056</v>
      </c>
      <c r="Z13" s="14">
        <f t="shared" ca="1" si="11"/>
        <v>3487409.5210699439</v>
      </c>
      <c r="AA13" s="11">
        <f t="shared" ca="1" si="12"/>
        <v>-3487409.5210699439</v>
      </c>
      <c r="AB13" s="33">
        <f t="shared" ca="1" si="16"/>
        <v>0.16516555990966944</v>
      </c>
      <c r="AC13" s="34">
        <f t="shared" ca="1" si="17"/>
        <v>-0.19846278665427869</v>
      </c>
      <c r="AD13" s="26">
        <f t="shared" ca="1" si="18"/>
        <v>-0.38548152800852498</v>
      </c>
      <c r="AE13" s="18">
        <f t="shared" ca="1" si="19"/>
        <v>-0.38548152800852498</v>
      </c>
      <c r="AF13" s="10" t="str">
        <f t="shared" si="13"/>
        <v>Whakatane District</v>
      </c>
      <c r="AG13" s="42">
        <f t="shared" ca="1" si="20"/>
        <v>0.64</v>
      </c>
      <c r="AH13" s="18">
        <f t="shared" ca="1" si="21"/>
        <v>0.64</v>
      </c>
      <c r="AI13" s="1"/>
      <c r="AJ13" s="1">
        <f ca="1">MIN(V8,X8)</f>
        <v>28714642</v>
      </c>
      <c r="AK13" s="1">
        <f ca="1">X8-AJ13</f>
        <v>2604308.0483835153</v>
      </c>
      <c r="AL13" s="1">
        <f ca="1">V8-AJ13</f>
        <v>0</v>
      </c>
      <c r="AM13" s="1"/>
      <c r="AN13" s="1"/>
      <c r="AO13" s="1"/>
    </row>
    <row r="14" spans="1:41" x14ac:dyDescent="0.25">
      <c r="A14" s="94">
        <f t="shared" ca="1" si="0"/>
        <v>12</v>
      </c>
      <c r="B14" s="95">
        <v>38</v>
      </c>
      <c r="C14">
        <f>MATCH(B14,Inputs!$A$4:$A$81,0)</f>
        <v>32</v>
      </c>
      <c r="D14" t="str">
        <f>INDEX(Inputs!$A$4:$AD$81,Model!$C14,D$90)</f>
        <v>Rangitikei District</v>
      </c>
      <c r="E14">
        <f ca="1">INDEX(Inputs!$A$4:$AD$81,Model!$C14,E$90)</f>
        <v>8047</v>
      </c>
      <c r="F14">
        <f>INDEX(Inputs!$A$4:$AD$81,Model!$C14,F$90)</f>
        <v>1005.5533227218464</v>
      </c>
      <c r="G14">
        <f ca="1">INDEX(Inputs!$A$4:$AD$81,Model!$C14,G$90)</f>
        <v>3.1325401155518501E-7</v>
      </c>
      <c r="H14" s="10">
        <f t="shared" ca="1" si="1"/>
        <v>-0.45581043302352209</v>
      </c>
      <c r="I14" s="14">
        <f t="shared" si="2"/>
        <v>7.369238737258553E-2</v>
      </c>
      <c r="J14" s="14">
        <f t="shared" ca="1" si="3"/>
        <v>0.98447232532521312</v>
      </c>
      <c r="K14" s="10">
        <f t="shared" ca="1" si="4"/>
        <v>7.0669339551120958</v>
      </c>
      <c r="L14" s="14">
        <f t="shared" si="5"/>
        <v>2.0412378396600852</v>
      </c>
      <c r="M14" s="14">
        <f t="shared" ca="1" si="6"/>
        <v>1.8788362608819202</v>
      </c>
      <c r="N14" s="14">
        <f t="shared" ca="1" si="7"/>
        <v>10.987008055654101</v>
      </c>
      <c r="O14" s="14">
        <f t="shared" ca="1" si="14"/>
        <v>0.63714412807681775</v>
      </c>
      <c r="P14" s="11">
        <f t="shared" ca="1" si="15"/>
        <v>1.713913414434824</v>
      </c>
      <c r="S14" s="26">
        <f t="shared" ca="1" si="8"/>
        <v>0.62980254766899424</v>
      </c>
      <c r="T14" s="18">
        <f ca="1">INDEX(Inputs!BU$4:BU$81,Model!$C14)</f>
        <v>0.63</v>
      </c>
      <c r="U14" s="10">
        <f>INDEX(Inputs!Z$4:Z$81,Model!$C14)</f>
        <v>50121675</v>
      </c>
      <c r="V14" s="14">
        <f>INDEX(Inputs!AA$4:AA$81,Model!$C14)</f>
        <v>31390599</v>
      </c>
      <c r="W14" s="11">
        <f>INDEX(Inputs!AB$4:AB$81,Model!$C14)</f>
        <v>18731076</v>
      </c>
      <c r="X14" s="10">
        <f t="shared" ca="1" si="9"/>
        <v>31566758.608437337</v>
      </c>
      <c r="Y14" s="14">
        <f t="shared" ca="1" si="10"/>
        <v>18554916.391562663</v>
      </c>
      <c r="Z14" s="14">
        <f t="shared" ca="1" si="11"/>
        <v>176159.60843733698</v>
      </c>
      <c r="AA14" s="11">
        <f t="shared" ca="1" si="12"/>
        <v>-176159.60843733698</v>
      </c>
      <c r="AB14" s="33">
        <f t="shared" ca="1" si="16"/>
        <v>5.6118587745756935E-3</v>
      </c>
      <c r="AC14" s="34">
        <f t="shared" ca="1" si="17"/>
        <v>-9.4046710630685069E-3</v>
      </c>
      <c r="AD14" s="26">
        <f t="shared" ca="1" si="18"/>
        <v>-1.947183851610703E-2</v>
      </c>
      <c r="AE14" s="18">
        <f t="shared" ca="1" si="19"/>
        <v>-1.947183851610703E-2</v>
      </c>
      <c r="AF14" s="10" t="str">
        <f t="shared" si="13"/>
        <v>Rangitikei District</v>
      </c>
      <c r="AG14" s="42">
        <f t="shared" ca="1" si="20"/>
        <v>0.63</v>
      </c>
      <c r="AH14" s="18">
        <f t="shared" ca="1" si="21"/>
        <v>0.63</v>
      </c>
      <c r="AI14" s="1"/>
      <c r="AJ14" s="1"/>
      <c r="AK14" s="1"/>
      <c r="AL14" s="1"/>
      <c r="AM14" s="1">
        <f ca="1">MIN(W8,Y8)</f>
        <v>11928034.951616485</v>
      </c>
      <c r="AN14" s="1">
        <f ca="1">Y8-AM14</f>
        <v>0</v>
      </c>
      <c r="AO14" s="1">
        <f ca="1">W8-AM14</f>
        <v>2604308.0483835153</v>
      </c>
    </row>
    <row r="15" spans="1:41" x14ac:dyDescent="0.25">
      <c r="A15" s="94">
        <f t="shared" ca="1" si="0"/>
        <v>13</v>
      </c>
      <c r="B15" s="95">
        <v>15</v>
      </c>
      <c r="C15">
        <f>MATCH(B15,Inputs!$A$4:$A$81,0)</f>
        <v>9</v>
      </c>
      <c r="D15" t="str">
        <f>INDEX(Inputs!$A$4:$AD$81,Model!$C15,D$90)</f>
        <v>South Waikato District</v>
      </c>
      <c r="E15">
        <f ca="1">INDEX(Inputs!$A$4:$AD$81,Model!$C15,E$90)</f>
        <v>10010</v>
      </c>
      <c r="F15">
        <f>INDEX(Inputs!$A$4:$AD$81,Model!$C15,F$90)</f>
        <v>1059.7516848107828</v>
      </c>
      <c r="G15">
        <f ca="1">INDEX(Inputs!$A$4:$AD$81,Model!$C15,G$90)</f>
        <v>7.7528878606154207E-8</v>
      </c>
      <c r="H15" s="10">
        <f t="shared" ca="1" si="1"/>
        <v>-0.42954447621593289</v>
      </c>
      <c r="I15" s="14">
        <f t="shared" si="2"/>
        <v>1.3679268649260088</v>
      </c>
      <c r="J15" s="14">
        <f t="shared" ca="1" si="3"/>
        <v>-0.48107828862836843</v>
      </c>
      <c r="K15" s="10">
        <f t="shared" ca="1" si="4"/>
        <v>7.0406679983045066</v>
      </c>
      <c r="L15" s="14">
        <f t="shared" si="5"/>
        <v>3.3354723172135081</v>
      </c>
      <c r="M15" s="14">
        <f t="shared" ca="1" si="6"/>
        <v>0.4132856469283388</v>
      </c>
      <c r="N15" s="14">
        <f t="shared" ca="1" si="7"/>
        <v>10.789425962446353</v>
      </c>
      <c r="O15" s="14">
        <f t="shared" ca="1" si="14"/>
        <v>0.6233495398669282</v>
      </c>
      <c r="P15" s="11">
        <f t="shared" ca="1" si="15"/>
        <v>1.5163313212270761</v>
      </c>
      <c r="Q15" s="1" t="s">
        <v>88</v>
      </c>
      <c r="R15" s="24">
        <f>Calculation!B23</f>
        <v>6.9900000000000004E-2</v>
      </c>
      <c r="S15" s="26">
        <f t="shared" ca="1" si="8"/>
        <v>0.61599155935377259</v>
      </c>
      <c r="T15" s="18">
        <f ca="1">INDEX(Inputs!BU$4:BU$81,Model!$C15)</f>
        <v>0.62</v>
      </c>
      <c r="U15" s="10">
        <f>INDEX(Inputs!Z$4:Z$81,Model!$C15)</f>
        <v>20185880</v>
      </c>
      <c r="V15" s="14">
        <f>INDEX(Inputs!AA$4:AA$81,Model!$C15)</f>
        <v>10192883</v>
      </c>
      <c r="W15" s="11">
        <f>INDEX(Inputs!AB$4:AB$81,Model!$C15)</f>
        <v>9992997</v>
      </c>
      <c r="X15" s="10">
        <f t="shared" ca="1" si="9"/>
        <v>12434331.69812813</v>
      </c>
      <c r="Y15" s="14">
        <f t="shared" ca="1" si="10"/>
        <v>7751548.3018718697</v>
      </c>
      <c r="Z15" s="14">
        <f t="shared" ca="1" si="11"/>
        <v>2241448.6981281303</v>
      </c>
      <c r="AA15" s="11">
        <f t="shared" ca="1" si="12"/>
        <v>-2241448.6981281303</v>
      </c>
      <c r="AB15" s="33">
        <f t="shared" ca="1" si="16"/>
        <v>0.21990330882127562</v>
      </c>
      <c r="AC15" s="34">
        <f t="shared" ca="1" si="17"/>
        <v>-0.22430194846732471</v>
      </c>
      <c r="AD15" s="26">
        <f t="shared" ca="1" si="18"/>
        <v>-0.2477589924231389</v>
      </c>
      <c r="AE15" s="18">
        <f t="shared" ca="1" si="19"/>
        <v>-0.2477589924231389</v>
      </c>
      <c r="AF15" s="10" t="str">
        <f t="shared" si="13"/>
        <v>South Waikato District</v>
      </c>
      <c r="AG15" s="42">
        <f t="shared" ca="1" si="20"/>
        <v>0.62</v>
      </c>
      <c r="AH15" s="18">
        <f t="shared" ca="1" si="21"/>
        <v>0.62</v>
      </c>
      <c r="AI15" s="1"/>
      <c r="AJ15" s="1">
        <f ca="1">MIN(V9,X9)</f>
        <v>48898923</v>
      </c>
      <c r="AK15" s="1">
        <f ca="1">X9-AJ15</f>
        <v>6644256.7918019965</v>
      </c>
      <c r="AL15" s="1">
        <f ca="1">V9-AJ15</f>
        <v>0</v>
      </c>
      <c r="AM15" s="1"/>
      <c r="AN15" s="1"/>
      <c r="AO15" s="1"/>
    </row>
    <row r="16" spans="1:41" x14ac:dyDescent="0.25">
      <c r="A16" s="94">
        <f t="shared" ca="1" si="0"/>
        <v>14</v>
      </c>
      <c r="B16" s="95">
        <v>41</v>
      </c>
      <c r="C16">
        <f>MATCH(B16,Inputs!$A$4:$A$81,0)</f>
        <v>35</v>
      </c>
      <c r="D16" t="str">
        <f>INDEX(Inputs!$A$4:$AD$81,Model!$C16,D$90)</f>
        <v>Wanganui District</v>
      </c>
      <c r="E16">
        <f ca="1">INDEX(Inputs!$A$4:$AD$81,Model!$C16,E$90)</f>
        <v>20804</v>
      </c>
      <c r="F16">
        <f>INDEX(Inputs!$A$4:$AD$81,Model!$C16,F$90)</f>
        <v>1045.8056982061203</v>
      </c>
      <c r="G16">
        <f ca="1">INDEX(Inputs!$A$4:$AD$81,Model!$C16,G$90)</f>
        <v>1.3205697624858937E-7</v>
      </c>
      <c r="H16" s="10">
        <f t="shared" ca="1" si="1"/>
        <v>-0.28511516506915868</v>
      </c>
      <c r="I16" s="14">
        <f t="shared" si="2"/>
        <v>1.0349024709852028</v>
      </c>
      <c r="J16" s="14">
        <f t="shared" ca="1" si="3"/>
        <v>-0.1420661265486004</v>
      </c>
      <c r="K16" s="10">
        <f t="shared" ca="1" si="4"/>
        <v>6.8962386871577319</v>
      </c>
      <c r="L16" s="14">
        <f t="shared" si="5"/>
        <v>3.0024479232727024</v>
      </c>
      <c r="M16" s="14">
        <f t="shared" ca="1" si="6"/>
        <v>0.75229780900810683</v>
      </c>
      <c r="N16" s="14">
        <f t="shared" ca="1" si="7"/>
        <v>10.650984419438542</v>
      </c>
      <c r="O16" s="14">
        <f t="shared" ca="1" si="14"/>
        <v>0.61368396721340612</v>
      </c>
      <c r="P16" s="11">
        <f t="shared" ca="1" si="15"/>
        <v>1.3778897782192647</v>
      </c>
      <c r="S16" s="26">
        <f t="shared" ca="1" si="8"/>
        <v>0.60631449549752658</v>
      </c>
      <c r="T16" s="18">
        <f ca="1">INDEX(Inputs!BU$4:BU$81,Model!$C16)</f>
        <v>0.6</v>
      </c>
      <c r="U16" s="10">
        <f>INDEX(Inputs!Z$4:Z$81,Model!$C16)</f>
        <v>45283058</v>
      </c>
      <c r="V16" s="14">
        <f>INDEX(Inputs!AA$4:AA$81,Model!$C16)</f>
        <v>29002842</v>
      </c>
      <c r="W16" s="11">
        <f>INDEX(Inputs!AB$4:AB$81,Model!$C16)</f>
        <v>16280216</v>
      </c>
      <c r="X16" s="10">
        <f t="shared" ca="1" si="9"/>
        <v>27455774.465855233</v>
      </c>
      <c r="Y16" s="14">
        <f t="shared" ca="1" si="10"/>
        <v>17827283.534144767</v>
      </c>
      <c r="Z16" s="14">
        <f t="shared" ca="1" si="11"/>
        <v>-1547067.5341447666</v>
      </c>
      <c r="AA16" s="11">
        <f t="shared" ca="1" si="12"/>
        <v>1547067.5341447666</v>
      </c>
      <c r="AB16" s="33">
        <f t="shared" ca="1" si="16"/>
        <v>-5.334192884079314E-2</v>
      </c>
      <c r="AC16" s="34">
        <f t="shared" ca="1" si="17"/>
        <v>9.5027457506999091E-2</v>
      </c>
      <c r="AD16" s="26">
        <f t="shared" ca="1" si="18"/>
        <v>0.17100542777996983</v>
      </c>
      <c r="AE16" s="18">
        <f t="shared" ca="1" si="19"/>
        <v>0.17100542777996983</v>
      </c>
      <c r="AF16" s="10" t="str">
        <f t="shared" si="13"/>
        <v>Wanganui District</v>
      </c>
      <c r="AG16" s="42">
        <f t="shared" ca="1" si="20"/>
        <v>0.6</v>
      </c>
      <c r="AH16" s="18">
        <f t="shared" ca="1" si="21"/>
        <v>0.61</v>
      </c>
      <c r="AI16" s="1"/>
      <c r="AJ16" s="1"/>
      <c r="AK16" s="1"/>
      <c r="AL16" s="1"/>
      <c r="AM16" s="1">
        <f ca="1">MIN(W9,Y9)</f>
        <v>26475860.208198003</v>
      </c>
      <c r="AN16" s="1">
        <f ca="1">Y9-AM16</f>
        <v>0</v>
      </c>
      <c r="AO16" s="1">
        <f ca="1">W9-AM16</f>
        <v>6644256.7918019965</v>
      </c>
    </row>
    <row r="17" spans="1:41" x14ac:dyDescent="0.25">
      <c r="A17" s="94">
        <f t="shared" ca="1" si="0"/>
        <v>15</v>
      </c>
      <c r="B17" s="95">
        <v>2</v>
      </c>
      <c r="C17">
        <f>MATCH(B17,Inputs!$A$4:$A$81,0)</f>
        <v>2</v>
      </c>
      <c r="D17" t="str">
        <f>INDEX(Inputs!$A$4:$AD$81,Model!$C17,D$90)</f>
        <v>Kaipara District</v>
      </c>
      <c r="E17">
        <f ca="1">INDEX(Inputs!$A$4:$AD$81,Model!$C17,E$90)</f>
        <v>14437</v>
      </c>
      <c r="F17">
        <f>INDEX(Inputs!$A$4:$AD$81,Model!$C17,F$90)</f>
        <v>1020.0784638304916</v>
      </c>
      <c r="G17">
        <f ca="1">INDEX(Inputs!$A$4:$AD$81,Model!$C17,G$90)</f>
        <v>2.0755264868764257E-7</v>
      </c>
      <c r="H17" s="10">
        <f t="shared" ca="1" si="1"/>
        <v>-0.37030892308949509</v>
      </c>
      <c r="I17" s="14">
        <f t="shared" si="2"/>
        <v>0.42054675140833359</v>
      </c>
      <c r="J17" s="14">
        <f t="shared" ca="1" si="3"/>
        <v>0.32730566978767067</v>
      </c>
      <c r="K17" s="10">
        <f t="shared" ca="1" si="4"/>
        <v>6.9814324451780685</v>
      </c>
      <c r="L17" s="14">
        <f t="shared" si="5"/>
        <v>2.388092203695833</v>
      </c>
      <c r="M17" s="14">
        <f t="shared" ca="1" si="6"/>
        <v>1.2216696053443779</v>
      </c>
      <c r="N17" s="14">
        <f t="shared" ca="1" si="7"/>
        <v>10.59119425421828</v>
      </c>
      <c r="O17" s="14">
        <f t="shared" ca="1" si="14"/>
        <v>0.60950959748776723</v>
      </c>
      <c r="P17" s="11">
        <f t="shared" ca="1" si="15"/>
        <v>1.3180996129990028</v>
      </c>
      <c r="Q17" s="1" t="s">
        <v>116</v>
      </c>
      <c r="R17" s="1"/>
      <c r="S17" s="26">
        <f t="shared" ca="1" si="8"/>
        <v>0.60213516294863034</v>
      </c>
      <c r="T17" s="18">
        <f ca="1">INDEX(Inputs!BU$4:BU$81,Model!$C17)</f>
        <v>0.61</v>
      </c>
      <c r="U17" s="10">
        <f>INDEX(Inputs!Z$4:Z$81,Model!$C17)</f>
        <v>57286120</v>
      </c>
      <c r="V17" s="14">
        <f>INDEX(Inputs!AA$4:AA$81,Model!$C17)</f>
        <v>35023715</v>
      </c>
      <c r="W17" s="11">
        <f>INDEX(Inputs!AB$4:AB$81,Model!$C17)</f>
        <v>22262405</v>
      </c>
      <c r="X17" s="10">
        <f t="shared" ca="1" si="9"/>
        <v>34493987.200894795</v>
      </c>
      <c r="Y17" s="14">
        <f t="shared" ca="1" si="10"/>
        <v>22792132.799105205</v>
      </c>
      <c r="Z17" s="14">
        <f t="shared" ca="1" si="11"/>
        <v>-529727.79910520464</v>
      </c>
      <c r="AA17" s="11">
        <f t="shared" ca="1" si="12"/>
        <v>529727.79910520464</v>
      </c>
      <c r="AB17" s="33">
        <f t="shared" ca="1" si="16"/>
        <v>-1.5124831820530879E-2</v>
      </c>
      <c r="AC17" s="34">
        <f t="shared" ca="1" si="17"/>
        <v>2.3794724743584739E-2</v>
      </c>
      <c r="AD17" s="26">
        <f t="shared" ca="1" si="18"/>
        <v>5.8553571123192379E-2</v>
      </c>
      <c r="AE17" s="18">
        <f t="shared" ca="1" si="19"/>
        <v>5.8553571123192379E-2</v>
      </c>
      <c r="AF17" s="10" t="str">
        <f t="shared" si="13"/>
        <v>Kaipara District</v>
      </c>
      <c r="AG17" s="42">
        <f t="shared" ca="1" si="20"/>
        <v>0.61</v>
      </c>
      <c r="AH17" s="18">
        <f t="shared" ca="1" si="21"/>
        <v>0.6</v>
      </c>
      <c r="AI17" s="1"/>
      <c r="AJ17" s="1">
        <f ca="1">MIN(V10,X10)</f>
        <v>26544282</v>
      </c>
      <c r="AK17" s="1">
        <f ca="1">X10-AJ17</f>
        <v>2399895.1566130109</v>
      </c>
      <c r="AL17" s="1">
        <f ca="1">V10-AJ17</f>
        <v>0</v>
      </c>
      <c r="AM17" s="1"/>
      <c r="AN17" s="1"/>
      <c r="AO17" s="1"/>
    </row>
    <row r="18" spans="1:41" x14ac:dyDescent="0.25">
      <c r="A18" s="94">
        <f t="shared" ca="1" si="0"/>
        <v>16</v>
      </c>
      <c r="B18" s="95">
        <v>28</v>
      </c>
      <c r="C18">
        <f>MATCH(B18,Inputs!$A$4:$A$81,0)</f>
        <v>22</v>
      </c>
      <c r="D18" t="str">
        <f>INDEX(Inputs!$A$4:$AD$81,Model!$C18,D$90)</f>
        <v>Central Hawke's Bay District</v>
      </c>
      <c r="E18">
        <f ca="1">INDEX(Inputs!$A$4:$AD$81,Model!$C18,E$90)</f>
        <v>7313</v>
      </c>
      <c r="F18">
        <f>INDEX(Inputs!$A$4:$AD$81,Model!$C18,F$90)</f>
        <v>993.28420326511844</v>
      </c>
      <c r="G18">
        <f ca="1">INDEX(Inputs!$A$4:$AD$81,Model!$C18,G$90)</f>
        <v>2.8799833419446927E-7</v>
      </c>
      <c r="H18" s="10">
        <f t="shared" ca="1" si="1"/>
        <v>-0.4656317332256466</v>
      </c>
      <c r="I18" s="14">
        <f t="shared" si="2"/>
        <v>-0.21928911240156085</v>
      </c>
      <c r="J18" s="14">
        <f t="shared" ca="1" si="3"/>
        <v>0.82745269403365418</v>
      </c>
      <c r="K18" s="10">
        <f t="shared" ca="1" si="4"/>
        <v>7.0767552553142199</v>
      </c>
      <c r="L18" s="14">
        <f t="shared" si="5"/>
        <v>1.7482563398859388</v>
      </c>
      <c r="M18" s="14">
        <f t="shared" ca="1" si="6"/>
        <v>1.7218166295903614</v>
      </c>
      <c r="N18" s="14">
        <f t="shared" ca="1" si="7"/>
        <v>10.54682822479052</v>
      </c>
      <c r="O18" s="14">
        <f t="shared" ca="1" si="14"/>
        <v>0.60641209458895806</v>
      </c>
      <c r="P18" s="11">
        <f t="shared" ca="1" si="15"/>
        <v>1.2737335835712429</v>
      </c>
      <c r="Q18" s="1" t="s">
        <v>110</v>
      </c>
      <c r="R18" s="2">
        <f ca="1">X81/U81</f>
        <v>0.53001774889030007</v>
      </c>
      <c r="S18" s="26">
        <f t="shared" ca="1" si="8"/>
        <v>0.5990339774916299</v>
      </c>
      <c r="T18" s="18">
        <f ca="1">INDEX(Inputs!BU$4:BU$81,Model!$C18)</f>
        <v>0.6</v>
      </c>
      <c r="U18" s="10">
        <f>INDEX(Inputs!Z$4:Z$81,Model!$C18)</f>
        <v>38963991</v>
      </c>
      <c r="V18" s="14">
        <f>INDEX(Inputs!AA$4:AA$81,Model!$C18)</f>
        <v>22640229</v>
      </c>
      <c r="W18" s="11">
        <f>INDEX(Inputs!AB$4:AB$81,Model!$C18)</f>
        <v>16323762</v>
      </c>
      <c r="X18" s="10">
        <f t="shared" ca="1" si="9"/>
        <v>23340754.507678069</v>
      </c>
      <c r="Y18" s="14">
        <f t="shared" ca="1" si="10"/>
        <v>15623236.492321931</v>
      </c>
      <c r="Z18" s="14">
        <f t="shared" ca="1" si="11"/>
        <v>700525.50767806917</v>
      </c>
      <c r="AA18" s="11">
        <f t="shared" ca="1" si="12"/>
        <v>-700525.50767806917</v>
      </c>
      <c r="AB18" s="33">
        <f t="shared" ca="1" si="16"/>
        <v>3.0941626415442579E-2</v>
      </c>
      <c r="AC18" s="34">
        <f t="shared" ca="1" si="17"/>
        <v>-4.2914464672914807E-2</v>
      </c>
      <c r="AD18" s="26">
        <f t="shared" ca="1" si="18"/>
        <v>-7.7432730936010372E-2</v>
      </c>
      <c r="AE18" s="18">
        <f t="shared" ca="1" si="19"/>
        <v>-7.7432730936010372E-2</v>
      </c>
      <c r="AF18" s="10" t="str">
        <f t="shared" si="13"/>
        <v>Central Hawke's Bay District</v>
      </c>
      <c r="AG18" s="42">
        <f t="shared" ca="1" si="20"/>
        <v>0.6</v>
      </c>
      <c r="AH18" s="18">
        <f t="shared" ca="1" si="21"/>
        <v>0.6</v>
      </c>
      <c r="AI18" s="1"/>
      <c r="AJ18" s="1"/>
      <c r="AK18" s="1"/>
      <c r="AL18" s="1"/>
      <c r="AM18" s="1">
        <f ca="1">MIN(W10,Y10)</f>
        <v>14884051.843386989</v>
      </c>
      <c r="AN18" s="1">
        <f ca="1">Y10-AM18</f>
        <v>0</v>
      </c>
      <c r="AO18" s="1">
        <f ca="1">W10-AM18</f>
        <v>2399895.1566130109</v>
      </c>
    </row>
    <row r="19" spans="1:41" x14ac:dyDescent="0.25">
      <c r="A19" s="94">
        <f t="shared" ca="1" si="0"/>
        <v>17</v>
      </c>
      <c r="B19" s="95">
        <v>90</v>
      </c>
      <c r="C19">
        <f>MATCH(B19,Inputs!$A$4:$A$81,0)</f>
        <v>75</v>
      </c>
      <c r="D19" t="str">
        <f>INDEX(Inputs!$A$4:$AD$81,Model!$C19,D$90)</f>
        <v>West Coast Regional</v>
      </c>
      <c r="E19">
        <f ca="1">INDEX(Inputs!$A$4:$AD$81,Model!$C19,E$90)</f>
        <v>22377</v>
      </c>
      <c r="F19">
        <f>INDEX(Inputs!$A$4:$AD$81,Model!$C19,F$90)</f>
        <v>1006.0929182281156</v>
      </c>
      <c r="G19">
        <f ca="1">INDEX(Inputs!$A$4:$AD$81,Model!$C19,G$90)</f>
        <v>2.6378977179355184E-7</v>
      </c>
      <c r="H19" s="10">
        <f t="shared" ca="1" si="1"/>
        <v>-0.26406761027632231</v>
      </c>
      <c r="I19" s="14">
        <f t="shared" si="2"/>
        <v>8.6577704958394161E-2</v>
      </c>
      <c r="J19" s="14">
        <f t="shared" ca="1" si="3"/>
        <v>0.67694318728000025</v>
      </c>
      <c r="K19" s="10">
        <f t="shared" ca="1" si="4"/>
        <v>6.875191132364896</v>
      </c>
      <c r="L19" s="14">
        <f t="shared" si="5"/>
        <v>2.0541231572458938</v>
      </c>
      <c r="M19" s="14">
        <f t="shared" ca="1" si="6"/>
        <v>1.5713071228367075</v>
      </c>
      <c r="N19" s="14">
        <f t="shared" ca="1" si="7"/>
        <v>10.500621412447497</v>
      </c>
      <c r="O19" s="14">
        <f t="shared" ca="1" si="14"/>
        <v>0.60318607375672895</v>
      </c>
      <c r="P19" s="11">
        <f t="shared" ca="1" si="15"/>
        <v>1.2275267712282201</v>
      </c>
      <c r="Q19" s="1" t="s">
        <v>117</v>
      </c>
      <c r="R19" s="25">
        <f ca="1">R18-R13</f>
        <v>1.774889030004001E-5</v>
      </c>
      <c r="S19" s="26">
        <f t="shared" ca="1" si="8"/>
        <v>0.59580412130885263</v>
      </c>
      <c r="T19" s="18">
        <f ca="1">INDEX(Inputs!BU$4:BU$81,Model!$C19)</f>
        <v>0.57999999999999996</v>
      </c>
      <c r="U19" s="10">
        <f>INDEX(Inputs!Z$4:Z$81,Model!$C19)</f>
        <v>652553</v>
      </c>
      <c r="V19" s="14">
        <f>INDEX(Inputs!AA$4:AA$81,Model!$C19)</f>
        <v>434515</v>
      </c>
      <c r="W19" s="11">
        <f>INDEX(Inputs!AB$4:AB$81,Model!$C19)</f>
        <v>218038</v>
      </c>
      <c r="X19" s="10">
        <f t="shared" ca="1" si="9"/>
        <v>388793.76677245571</v>
      </c>
      <c r="Y19" s="14">
        <f t="shared" ca="1" si="10"/>
        <v>263759.23322754429</v>
      </c>
      <c r="Z19" s="14">
        <f t="shared" ca="1" si="11"/>
        <v>-45721.23322754429</v>
      </c>
      <c r="AA19" s="11">
        <f t="shared" ca="1" si="12"/>
        <v>45721.23322754429</v>
      </c>
      <c r="AB19" s="33">
        <f t="shared" ca="1" si="16"/>
        <v>-0.10522360155010596</v>
      </c>
      <c r="AC19" s="34">
        <f t="shared" ca="1" si="17"/>
        <v>0.20969387550584892</v>
      </c>
      <c r="AD19" s="26">
        <f t="shared" ca="1" si="18"/>
        <v>5.0538059096600241E-3</v>
      </c>
      <c r="AE19" s="18">
        <f t="shared" ca="1" si="19"/>
        <v>5.0538059096600241E-3</v>
      </c>
      <c r="AF19" s="10" t="str">
        <f t="shared" si="13"/>
        <v>West Coast Regional</v>
      </c>
      <c r="AG19" s="42">
        <f t="shared" ca="1" si="20"/>
        <v>0.57999999999999996</v>
      </c>
      <c r="AH19" s="18">
        <f t="shared" ca="1" si="21"/>
        <v>0.6</v>
      </c>
      <c r="AI19" s="1"/>
      <c r="AJ19" s="1">
        <f ca="1">MIN(V11,X11)</f>
        <v>59309994</v>
      </c>
      <c r="AK19" s="1">
        <f ca="1">X11-AJ19</f>
        <v>6781223.2567526177</v>
      </c>
      <c r="AL19" s="1">
        <f ca="1">V11-AJ19</f>
        <v>0</v>
      </c>
      <c r="AM19" s="1"/>
      <c r="AN19" s="1"/>
      <c r="AO19" s="1"/>
    </row>
    <row r="20" spans="1:41" x14ac:dyDescent="0.25">
      <c r="A20" s="94">
        <f t="shared" ca="1" si="0"/>
        <v>18</v>
      </c>
      <c r="B20" s="95">
        <v>12</v>
      </c>
      <c r="C20">
        <f>MATCH(B20,Inputs!$A$4:$A$81,0)</f>
        <v>6</v>
      </c>
      <c r="D20" t="str">
        <f>INDEX(Inputs!$A$4:$AD$81,Model!$C20,D$90)</f>
        <v>Hauraki District</v>
      </c>
      <c r="E20">
        <f ca="1">INDEX(Inputs!$A$4:$AD$81,Model!$C20,E$90)</f>
        <v>10831</v>
      </c>
      <c r="F20">
        <f>INDEX(Inputs!$A$4:$AD$81,Model!$C20,F$90)</f>
        <v>1040.2874231032126</v>
      </c>
      <c r="G20">
        <f ca="1">INDEX(Inputs!$A$4:$AD$81,Model!$C20,G$90)</f>
        <v>1.0044000948863284E-7</v>
      </c>
      <c r="H20" s="10">
        <f t="shared" ca="1" si="1"/>
        <v>-0.41855907094897887</v>
      </c>
      <c r="I20" s="14">
        <f t="shared" si="2"/>
        <v>0.90312834314185186</v>
      </c>
      <c r="J20" s="14">
        <f t="shared" ca="1" si="3"/>
        <v>-0.33863517485802797</v>
      </c>
      <c r="K20" s="10">
        <f t="shared" ca="1" si="4"/>
        <v>7.0296825930375526</v>
      </c>
      <c r="L20" s="14">
        <f t="shared" si="5"/>
        <v>2.8706737954293513</v>
      </c>
      <c r="M20" s="14">
        <f t="shared" ca="1" si="6"/>
        <v>0.55572876069867927</v>
      </c>
      <c r="N20" s="14">
        <f t="shared" ca="1" si="7"/>
        <v>10.456085149165583</v>
      </c>
      <c r="O20" s="14">
        <f t="shared" ca="1" si="14"/>
        <v>0.60007668564160621</v>
      </c>
      <c r="P20" s="11">
        <f t="shared" ca="1" si="15"/>
        <v>1.1829905079463057</v>
      </c>
      <c r="Q20" s="1"/>
      <c r="R20" s="1"/>
      <c r="S20" s="26">
        <f t="shared" ca="1" si="8"/>
        <v>0.59269103650544674</v>
      </c>
      <c r="T20" s="18">
        <f ca="1">INDEX(Inputs!BU$4:BU$81,Model!$C20)</f>
        <v>0.6</v>
      </c>
      <c r="U20" s="10">
        <f>INDEX(Inputs!Z$4:Z$81,Model!$C20)</f>
        <v>20845476.009999998</v>
      </c>
      <c r="V20" s="14">
        <f>INDEX(Inputs!AA$4:AA$81,Model!$C20)</f>
        <v>11332393.17</v>
      </c>
      <c r="W20" s="11">
        <f>INDEX(Inputs!AB$4:AB$81,Model!$C20)</f>
        <v>9513082.839999998</v>
      </c>
      <c r="X20" s="10">
        <f t="shared" ca="1" si="9"/>
        <v>12354926.782816323</v>
      </c>
      <c r="Y20" s="14">
        <f t="shared" ca="1" si="10"/>
        <v>8490549.2271836754</v>
      </c>
      <c r="Z20" s="14">
        <f t="shared" ca="1" si="11"/>
        <v>1022533.6128163226</v>
      </c>
      <c r="AA20" s="11">
        <f t="shared" ca="1" si="12"/>
        <v>-1022533.6128163226</v>
      </c>
      <c r="AB20" s="33">
        <f t="shared" ca="1" si="16"/>
        <v>9.0231039240965788E-2</v>
      </c>
      <c r="AC20" s="34">
        <f t="shared" ca="1" si="17"/>
        <v>-0.10748709225119318</v>
      </c>
      <c r="AD20" s="26">
        <f t="shared" ca="1" si="18"/>
        <v>-0.11302596300407589</v>
      </c>
      <c r="AE20" s="18">
        <f t="shared" ca="1" si="19"/>
        <v>-0.11302596300407589</v>
      </c>
      <c r="AF20" s="10" t="str">
        <f t="shared" si="13"/>
        <v>Hauraki District</v>
      </c>
      <c r="AG20" s="42">
        <f t="shared" ca="1" si="20"/>
        <v>0.6</v>
      </c>
      <c r="AH20" s="18">
        <f t="shared" ca="1" si="21"/>
        <v>0.59</v>
      </c>
      <c r="AI20" s="1"/>
      <c r="AJ20" s="1"/>
      <c r="AK20" s="1"/>
      <c r="AL20" s="1"/>
      <c r="AM20" s="1">
        <f ca="1">MIN(W11,Y11)</f>
        <v>34044416.743247382</v>
      </c>
      <c r="AN20" s="1">
        <f ca="1">Y11-AM20</f>
        <v>0</v>
      </c>
      <c r="AO20" s="1">
        <f ca="1">W11-AM20</f>
        <v>6781223.2567526177</v>
      </c>
    </row>
    <row r="21" spans="1:41" x14ac:dyDescent="0.25">
      <c r="A21" s="94">
        <f t="shared" ca="1" si="0"/>
        <v>19</v>
      </c>
      <c r="B21" s="95">
        <v>62</v>
      </c>
      <c r="C21">
        <f>MATCH(B21,Inputs!$A$4:$A$81,0)</f>
        <v>55</v>
      </c>
      <c r="D21" t="str">
        <f>INDEX(Inputs!$A$4:$AD$81,Model!$C21,D$90)</f>
        <v>Waimate District</v>
      </c>
      <c r="E21">
        <f ca="1">INDEX(Inputs!$A$4:$AD$81,Model!$C21,E$90)</f>
        <v>4271</v>
      </c>
      <c r="F21">
        <f>INDEX(Inputs!$A$4:$AD$81,Model!$C21,F$90)</f>
        <v>987.6780159730979</v>
      </c>
      <c r="G21">
        <f ca="1">INDEX(Inputs!$A$4:$AD$81,Model!$C21,G$90)</f>
        <v>2.8581078713776121E-7</v>
      </c>
      <c r="H21" s="10">
        <f t="shared" ca="1" si="1"/>
        <v>-0.50633526894071867</v>
      </c>
      <c r="I21" s="14">
        <f t="shared" si="2"/>
        <v>-0.35316254697230709</v>
      </c>
      <c r="J21" s="14">
        <f t="shared" ca="1" si="3"/>
        <v>0.8138522735273519</v>
      </c>
      <c r="K21" s="10">
        <f t="shared" ca="1" si="4"/>
        <v>7.1174587910292919</v>
      </c>
      <c r="L21" s="14">
        <f t="shared" si="5"/>
        <v>1.6143829053151926</v>
      </c>
      <c r="M21" s="14">
        <f t="shared" ca="1" si="6"/>
        <v>1.7082162090840591</v>
      </c>
      <c r="N21" s="14">
        <f t="shared" ca="1" si="7"/>
        <v>10.440057905428544</v>
      </c>
      <c r="O21" s="14">
        <f t="shared" ca="1" si="14"/>
        <v>0.59895771162982914</v>
      </c>
      <c r="P21" s="11">
        <f t="shared" ca="1" si="15"/>
        <v>1.1669632642092669</v>
      </c>
      <c r="Q21" s="1" t="s">
        <v>121</v>
      </c>
      <c r="R21" s="4">
        <f ca="1">ABS(R19)</f>
        <v>1.774889030004001E-5</v>
      </c>
      <c r="S21" s="26">
        <f t="shared" ca="1" si="8"/>
        <v>0.59157073216822775</v>
      </c>
      <c r="T21" s="18">
        <f ca="1">INDEX(Inputs!BU$4:BU$81,Model!$C21)</f>
        <v>0.6</v>
      </c>
      <c r="U21" s="10">
        <f>INDEX(Inputs!Z$4:Z$81,Model!$C21)</f>
        <v>12405165</v>
      </c>
      <c r="V21" s="14">
        <f>INDEX(Inputs!AA$4:AA$81,Model!$C21)</f>
        <v>6508587</v>
      </c>
      <c r="W21" s="11">
        <f>INDEX(Inputs!AB$4:AB$81,Model!$C21)</f>
        <v>5896578</v>
      </c>
      <c r="X21" s="10">
        <f t="shared" ca="1" si="9"/>
        <v>7338532.5417176727</v>
      </c>
      <c r="Y21" s="14">
        <f t="shared" ca="1" si="10"/>
        <v>5066632.4582823273</v>
      </c>
      <c r="Z21" s="14">
        <f t="shared" ca="1" si="11"/>
        <v>829945.54171767272</v>
      </c>
      <c r="AA21" s="11">
        <f t="shared" ca="1" si="12"/>
        <v>-829945.54171767272</v>
      </c>
      <c r="AB21" s="33">
        <f t="shared" ca="1" si="16"/>
        <v>0.12751547174796507</v>
      </c>
      <c r="AC21" s="34">
        <f t="shared" ca="1" si="17"/>
        <v>-0.14075037109958907</v>
      </c>
      <c r="AD21" s="26">
        <f t="shared" ca="1" si="18"/>
        <v>-9.1738200991960575E-2</v>
      </c>
      <c r="AE21" s="18">
        <f t="shared" ca="1" si="19"/>
        <v>-9.1738200991960575E-2</v>
      </c>
      <c r="AF21" s="10" t="str">
        <f t="shared" si="13"/>
        <v>Waimate District</v>
      </c>
      <c r="AG21" s="42">
        <f t="shared" ca="1" si="20"/>
        <v>0.6</v>
      </c>
      <c r="AH21" s="18">
        <f t="shared" ca="1" si="21"/>
        <v>0.59</v>
      </c>
      <c r="AI21" s="1"/>
      <c r="AJ21" s="1">
        <f ca="1">MIN(V12,X12)</f>
        <v>10332117.343571985</v>
      </c>
      <c r="AK21" s="1">
        <f ca="1">X12-AJ21</f>
        <v>0</v>
      </c>
      <c r="AL21" s="1">
        <f ca="1">V12-AJ21</f>
        <v>140162.65642801486</v>
      </c>
      <c r="AM21" s="1"/>
      <c r="AN21" s="1"/>
      <c r="AO21" s="1"/>
    </row>
    <row r="22" spans="1:41" x14ac:dyDescent="0.25">
      <c r="A22" s="94">
        <f t="shared" ca="1" si="0"/>
        <v>20</v>
      </c>
      <c r="B22" s="95">
        <v>65</v>
      </c>
      <c r="C22">
        <f>MATCH(B22,Inputs!$A$4:$A$81,0)</f>
        <v>58</v>
      </c>
      <c r="D22" t="str">
        <f>INDEX(Inputs!$A$4:$AD$81,Model!$C22,D$90)</f>
        <v>Westland District</v>
      </c>
      <c r="E22">
        <f ca="1">INDEX(Inputs!$A$4:$AD$81,Model!$C22,E$90)</f>
        <v>6558</v>
      </c>
      <c r="F22">
        <f>INDEX(Inputs!$A$4:$AD$81,Model!$C22,F$90)</f>
        <v>988.67059243397568</v>
      </c>
      <c r="G22">
        <f ca="1">INDEX(Inputs!$A$4:$AD$81,Model!$C22,G$90)</f>
        <v>2.8662367139638546E-7</v>
      </c>
      <c r="H22" s="10">
        <f t="shared" ca="1" si="1"/>
        <v>-0.47573402430548861</v>
      </c>
      <c r="I22" s="14">
        <f t="shared" si="2"/>
        <v>-0.32946023148225612</v>
      </c>
      <c r="J22" s="14">
        <f t="shared" ca="1" si="3"/>
        <v>0.81890613863454675</v>
      </c>
      <c r="K22" s="10">
        <f t="shared" ca="1" si="4"/>
        <v>7.0868575463940617</v>
      </c>
      <c r="L22" s="14">
        <f t="shared" si="5"/>
        <v>1.6380852208052434</v>
      </c>
      <c r="M22" s="14">
        <f t="shared" ca="1" si="6"/>
        <v>1.7132700741912541</v>
      </c>
      <c r="N22" s="14">
        <f t="shared" ca="1" si="7"/>
        <v>10.438212841390559</v>
      </c>
      <c r="O22" s="14">
        <f t="shared" ca="1" si="14"/>
        <v>0.59882889480128132</v>
      </c>
      <c r="P22" s="11">
        <f t="shared" ca="1" si="15"/>
        <v>1.1651182001712819</v>
      </c>
      <c r="S22" s="26">
        <f t="shared" ca="1" si="8"/>
        <v>0.59144176219197264</v>
      </c>
      <c r="T22" s="18">
        <f ca="1">INDEX(Inputs!BU$4:BU$81,Model!$C22)</f>
        <v>0.57999999999999996</v>
      </c>
      <c r="U22" s="10">
        <f>INDEX(Inputs!Z$4:Z$81,Model!$C22)</f>
        <v>14380868</v>
      </c>
      <c r="V22" s="14">
        <f>INDEX(Inputs!AA$4:AA$81,Model!$C22)</f>
        <v>9422461</v>
      </c>
      <c r="W22" s="11">
        <f>INDEX(Inputs!AB$4:AB$81,Model!$C22)</f>
        <v>4958407</v>
      </c>
      <c r="X22" s="10">
        <f t="shared" ca="1" si="9"/>
        <v>8505445.9117701501</v>
      </c>
      <c r="Y22" s="14">
        <f t="shared" ca="1" si="10"/>
        <v>5875422.0882298499</v>
      </c>
      <c r="Z22" s="14">
        <f t="shared" ca="1" si="11"/>
        <v>-917015.08822984993</v>
      </c>
      <c r="AA22" s="11">
        <f t="shared" ca="1" si="12"/>
        <v>917015.08822984993</v>
      </c>
      <c r="AB22" s="33">
        <f t="shared" ca="1" si="16"/>
        <v>-9.7322248214118362E-2</v>
      </c>
      <c r="AC22" s="34">
        <f t="shared" ca="1" si="17"/>
        <v>0.18494147177306139</v>
      </c>
      <c r="AD22" s="26">
        <f t="shared" ca="1" si="18"/>
        <v>0.10136245120683812</v>
      </c>
      <c r="AE22" s="18">
        <f t="shared" ca="1" si="19"/>
        <v>0.10136245120683812</v>
      </c>
      <c r="AF22" s="10" t="str">
        <f t="shared" si="13"/>
        <v>Westland District</v>
      </c>
      <c r="AG22" s="42">
        <f t="shared" ca="1" si="20"/>
        <v>0.57999999999999996</v>
      </c>
      <c r="AH22" s="18">
        <f t="shared" ca="1" si="21"/>
        <v>0.59</v>
      </c>
      <c r="AI22" s="1"/>
      <c r="AJ22" s="1"/>
      <c r="AK22" s="1"/>
      <c r="AL22" s="1"/>
      <c r="AM22" s="1">
        <f ca="1">MIN(W12,Y12)</f>
        <v>5277006</v>
      </c>
      <c r="AN22" s="1">
        <f ca="1">Y12-AM22</f>
        <v>140162.65642801486</v>
      </c>
      <c r="AO22" s="1">
        <f ca="1">W12-AM22</f>
        <v>0</v>
      </c>
    </row>
    <row r="23" spans="1:41" x14ac:dyDescent="0.25">
      <c r="A23" s="94">
        <f t="shared" ca="1" si="0"/>
        <v>21</v>
      </c>
      <c r="B23" s="95">
        <v>67</v>
      </c>
      <c r="C23">
        <f>MATCH(B23,Inputs!$A$4:$A$81,0)</f>
        <v>60</v>
      </c>
      <c r="D23" t="str">
        <f>INDEX(Inputs!$A$4:$AD$81,Model!$C23,D$90)</f>
        <v>Clutha District</v>
      </c>
      <c r="E23">
        <f ca="1">INDEX(Inputs!$A$4:$AD$81,Model!$C23,E$90)</f>
        <v>11947</v>
      </c>
      <c r="F23">
        <f>INDEX(Inputs!$A$4:$AD$81,Model!$C23,F$90)</f>
        <v>967.42468876030159</v>
      </c>
      <c r="G23">
        <f ca="1">INDEX(Inputs!$A$4:$AD$81,Model!$C23,G$90)</f>
        <v>3.7803140417372176E-7</v>
      </c>
      <c r="H23" s="10">
        <f t="shared" ca="1" si="1"/>
        <v>-0.40362641287599388</v>
      </c>
      <c r="I23" s="14">
        <f t="shared" si="2"/>
        <v>-0.83680362677022913</v>
      </c>
      <c r="J23" s="14">
        <f t="shared" ca="1" si="3"/>
        <v>1.3872064179301615</v>
      </c>
      <c r="K23" s="10">
        <f t="shared" ca="1" si="4"/>
        <v>7.0147499349645672</v>
      </c>
      <c r="L23" s="14">
        <f t="shared" si="5"/>
        <v>1.1307418255172705</v>
      </c>
      <c r="M23" s="14">
        <f t="shared" ca="1" si="6"/>
        <v>2.2815703534868685</v>
      </c>
      <c r="N23" s="14">
        <f t="shared" ca="1" si="7"/>
        <v>10.427062113968706</v>
      </c>
      <c r="O23" s="14">
        <f t="shared" ca="1" si="14"/>
        <v>0.59805038450954418</v>
      </c>
      <c r="P23" s="11">
        <f t="shared" ca="1" si="15"/>
        <v>1.1539674727494287</v>
      </c>
      <c r="Q23" s="28"/>
      <c r="R23" s="29"/>
      <c r="S23" s="26">
        <f t="shared" ca="1" si="8"/>
        <v>0.59066232634518512</v>
      </c>
      <c r="T23" s="18">
        <f ca="1">INDEX(Inputs!BU$4:BU$81,Model!$C23)</f>
        <v>0.59</v>
      </c>
      <c r="U23" s="10">
        <f>INDEX(Inputs!Z$4:Z$81,Model!$C23)</f>
        <v>54556550</v>
      </c>
      <c r="V23" s="14">
        <f>INDEX(Inputs!AA$4:AA$81,Model!$C23)</f>
        <v>33495346</v>
      </c>
      <c r="W23" s="11">
        <f>INDEX(Inputs!AB$4:AB$81,Model!$C23)</f>
        <v>21061204</v>
      </c>
      <c r="X23" s="10">
        <f t="shared" ca="1" si="9"/>
        <v>32224498.740367409</v>
      </c>
      <c r="Y23" s="14">
        <f t="shared" ca="1" si="10"/>
        <v>22332051.259632591</v>
      </c>
      <c r="Z23" s="14">
        <f t="shared" ca="1" si="11"/>
        <v>-1270847.2596325912</v>
      </c>
      <c r="AA23" s="11">
        <f t="shared" ca="1" si="12"/>
        <v>1270847.2596325912</v>
      </c>
      <c r="AB23" s="33">
        <f t="shared" ca="1" si="16"/>
        <v>-3.7941010062490212E-2</v>
      </c>
      <c r="AC23" s="34">
        <f t="shared" ca="1" si="17"/>
        <v>6.0340674713211605E-2</v>
      </c>
      <c r="AD23" s="26">
        <f t="shared" ca="1" si="18"/>
        <v>0.14047336297869578</v>
      </c>
      <c r="AE23" s="18">
        <f t="shared" ca="1" si="19"/>
        <v>0.14047336297869578</v>
      </c>
      <c r="AF23" s="10" t="str">
        <f t="shared" si="13"/>
        <v>Clutha District</v>
      </c>
      <c r="AG23" s="42">
        <f t="shared" ca="1" si="20"/>
        <v>0.59</v>
      </c>
      <c r="AH23" s="18">
        <f t="shared" ca="1" si="21"/>
        <v>0.59</v>
      </c>
      <c r="AI23" s="1"/>
      <c r="AJ23" s="1">
        <f ca="1">MIN(V13,X13)</f>
        <v>21114629</v>
      </c>
      <c r="AK23" s="1">
        <f ca="1">X13-AJ23</f>
        <v>3487409.5210699439</v>
      </c>
      <c r="AL23" s="1">
        <f ca="1">V13-AJ23</f>
        <v>0</v>
      </c>
      <c r="AM23" s="1"/>
      <c r="AN23" s="1"/>
      <c r="AO23" s="1"/>
    </row>
    <row r="24" spans="1:41" x14ac:dyDescent="0.25">
      <c r="A24" s="94">
        <f t="shared" ca="1" si="0"/>
        <v>22</v>
      </c>
      <c r="B24" s="95">
        <v>35</v>
      </c>
      <c r="C24">
        <f>MATCH(B24,Inputs!$A$4:$A$81,0)</f>
        <v>29</v>
      </c>
      <c r="D24" t="str">
        <f>INDEX(Inputs!$A$4:$AD$81,Model!$C24,D$90)</f>
        <v>Horowhenua District</v>
      </c>
      <c r="E24">
        <f ca="1">INDEX(Inputs!$A$4:$AD$81,Model!$C24,E$90)</f>
        <v>17483</v>
      </c>
      <c r="F24">
        <f>INDEX(Inputs!$A$4:$AD$81,Model!$C24,F$90)</f>
        <v>1044.1223832528181</v>
      </c>
      <c r="G24">
        <f ca="1">INDEX(Inputs!$A$4:$AD$81,Model!$C24,G$90)</f>
        <v>9.1647116783128359E-8</v>
      </c>
      <c r="H24" s="10">
        <f t="shared" ca="1" si="1"/>
        <v>-0.32955186530247693</v>
      </c>
      <c r="I24" s="14">
        <f t="shared" si="2"/>
        <v>0.99470560589230583</v>
      </c>
      <c r="J24" s="14">
        <f t="shared" ca="1" si="3"/>
        <v>-0.39330235922553625</v>
      </c>
      <c r="K24" s="10">
        <f t="shared" ca="1" si="4"/>
        <v>6.9406753873910505</v>
      </c>
      <c r="L24" s="14">
        <f t="shared" si="5"/>
        <v>2.9622510581798052</v>
      </c>
      <c r="M24" s="14">
        <f t="shared" ca="1" si="6"/>
        <v>0.50106157633117099</v>
      </c>
      <c r="N24" s="14">
        <f t="shared" ca="1" si="7"/>
        <v>10.403988021902027</v>
      </c>
      <c r="O24" s="14">
        <f t="shared" ca="1" si="14"/>
        <v>0.59643942071616929</v>
      </c>
      <c r="P24" s="11">
        <f t="shared" ca="1" si="15"/>
        <v>1.1308933806827497</v>
      </c>
      <c r="Q24" s="29"/>
      <c r="R24" s="29"/>
      <c r="S24" s="26">
        <f t="shared" ca="1" si="8"/>
        <v>0.58904944730972419</v>
      </c>
      <c r="T24" s="18">
        <f ca="1">INDEX(Inputs!BU$4:BU$81,Model!$C24)</f>
        <v>0.59</v>
      </c>
      <c r="U24" s="10">
        <f>INDEX(Inputs!Z$4:Z$81,Model!$C24)</f>
        <v>16626498</v>
      </c>
      <c r="V24" s="14">
        <f>INDEX(Inputs!AA$4:AA$81,Model!$C24)</f>
        <v>7924599</v>
      </c>
      <c r="W24" s="11">
        <f>INDEX(Inputs!AB$4:AB$81,Model!$C24)</f>
        <v>8701899</v>
      </c>
      <c r="X24" s="10">
        <f t="shared" ca="1" si="9"/>
        <v>9793829.457596235</v>
      </c>
      <c r="Y24" s="14">
        <f t="shared" ca="1" si="10"/>
        <v>6832668.542403765</v>
      </c>
      <c r="Z24" s="14">
        <f t="shared" ca="1" si="11"/>
        <v>1869230.457596235</v>
      </c>
      <c r="AA24" s="11">
        <f t="shared" ca="1" si="12"/>
        <v>-1869230.457596235</v>
      </c>
      <c r="AB24" s="33">
        <f t="shared" ca="1" si="16"/>
        <v>0.23587697719420692</v>
      </c>
      <c r="AC24" s="34">
        <f t="shared" ca="1" si="17"/>
        <v>-0.21480718836155591</v>
      </c>
      <c r="AD24" s="26">
        <f t="shared" ca="1" si="18"/>
        <v>-0.2066157727220988</v>
      </c>
      <c r="AE24" s="18">
        <f t="shared" ca="1" si="19"/>
        <v>-0.2066157727220988</v>
      </c>
      <c r="AF24" s="10" t="str">
        <f t="shared" si="13"/>
        <v>Horowhenua District</v>
      </c>
      <c r="AG24" s="42">
        <f t="shared" ca="1" si="20"/>
        <v>0.59</v>
      </c>
      <c r="AH24" s="18">
        <f t="shared" ca="1" si="21"/>
        <v>0.59</v>
      </c>
      <c r="AI24" s="1"/>
      <c r="AJ24" s="1"/>
      <c r="AK24" s="1"/>
      <c r="AL24" s="1"/>
      <c r="AM24" s="1">
        <f ca="1">MIN(W13,Y13)</f>
        <v>14084698.478930056</v>
      </c>
      <c r="AN24" s="1">
        <f ca="1">Y13-AM24</f>
        <v>0</v>
      </c>
      <c r="AO24" s="1">
        <f ca="1">W13-AM24</f>
        <v>3487409.5210699439</v>
      </c>
    </row>
    <row r="25" spans="1:41" x14ac:dyDescent="0.25">
      <c r="A25" s="94">
        <f t="shared" ca="1" si="0"/>
        <v>23</v>
      </c>
      <c r="B25" s="95">
        <v>64</v>
      </c>
      <c r="C25">
        <f>MATCH(B25,Inputs!$A$4:$A$81,0)</f>
        <v>57</v>
      </c>
      <c r="D25" t="str">
        <f>INDEX(Inputs!$A$4:$AD$81,Model!$C25,D$90)</f>
        <v>Grey District</v>
      </c>
      <c r="E25">
        <f ca="1">INDEX(Inputs!$A$4:$AD$81,Model!$C25,E$90)</f>
        <v>8494</v>
      </c>
      <c r="F25">
        <f>INDEX(Inputs!$A$4:$AD$81,Model!$C25,F$90)</f>
        <v>997.88461538461536</v>
      </c>
      <c r="G25">
        <f ca="1">INDEX(Inputs!$A$4:$AD$81,Model!$C25,G$90)</f>
        <v>2.3704444435743132E-7</v>
      </c>
      <c r="H25" s="10">
        <f t="shared" ca="1" si="1"/>
        <v>-0.44982934148353615</v>
      </c>
      <c r="I25" s="14">
        <f t="shared" si="2"/>
        <v>-0.10943317309776146</v>
      </c>
      <c r="J25" s="14">
        <f t="shared" ca="1" si="3"/>
        <v>0.51066210153395375</v>
      </c>
      <c r="K25" s="10">
        <f t="shared" ca="1" si="4"/>
        <v>7.0609528635721093</v>
      </c>
      <c r="L25" s="14">
        <f t="shared" si="5"/>
        <v>1.8581122791897382</v>
      </c>
      <c r="M25" s="14">
        <f t="shared" ca="1" si="6"/>
        <v>1.4050260370906611</v>
      </c>
      <c r="N25" s="14">
        <f t="shared" ca="1" si="7"/>
        <v>10.324091179852509</v>
      </c>
      <c r="O25" s="14">
        <f t="shared" ca="1" si="14"/>
        <v>0.59086126321489796</v>
      </c>
      <c r="P25" s="11">
        <f t="shared" ca="1" si="15"/>
        <v>1.0509965386332318</v>
      </c>
      <c r="Q25" s="29"/>
      <c r="R25" s="29"/>
      <c r="S25" s="26">
        <f t="shared" ca="1" si="8"/>
        <v>0.58346465805046288</v>
      </c>
      <c r="T25" s="18">
        <f ca="1">INDEX(Inputs!BU$4:BU$81,Model!$C25)</f>
        <v>0.56999999999999995</v>
      </c>
      <c r="U25" s="10">
        <f>INDEX(Inputs!Z$4:Z$81,Model!$C25)</f>
        <v>20502435</v>
      </c>
      <c r="V25" s="14">
        <f>INDEX(Inputs!AA$4:AA$81,Model!$C25)</f>
        <v>13021730</v>
      </c>
      <c r="W25" s="11">
        <f>INDEX(Inputs!AB$4:AB$81,Model!$C25)</f>
        <v>7480705</v>
      </c>
      <c r="X25" s="10">
        <f t="shared" ca="1" si="9"/>
        <v>11962446.226476843</v>
      </c>
      <c r="Y25" s="14">
        <f t="shared" ca="1" si="10"/>
        <v>8539988.7735231575</v>
      </c>
      <c r="Z25" s="14">
        <f t="shared" ca="1" si="11"/>
        <v>-1059283.7735231575</v>
      </c>
      <c r="AA25" s="11">
        <f t="shared" ca="1" si="12"/>
        <v>1059283.7735231575</v>
      </c>
      <c r="AB25" s="33">
        <f t="shared" ca="1" si="16"/>
        <v>-8.1347391899782712E-2</v>
      </c>
      <c r="AC25" s="34">
        <f t="shared" ca="1" si="17"/>
        <v>0.14160213155353105</v>
      </c>
      <c r="AD25" s="26">
        <f t="shared" ca="1" si="18"/>
        <v>0.11708814956927263</v>
      </c>
      <c r="AE25" s="18">
        <f t="shared" ca="1" si="19"/>
        <v>0.11708814956927263</v>
      </c>
      <c r="AF25" s="10" t="str">
        <f t="shared" si="13"/>
        <v>Grey District</v>
      </c>
      <c r="AG25" s="42">
        <f t="shared" ca="1" si="20"/>
        <v>0.56999999999999995</v>
      </c>
      <c r="AH25" s="18">
        <f t="shared" ca="1" si="21"/>
        <v>0.57999999999999996</v>
      </c>
      <c r="AI25" s="1"/>
      <c r="AJ25" s="1">
        <f ca="1">MIN(V14,X14)</f>
        <v>31390599</v>
      </c>
      <c r="AK25" s="1">
        <f ca="1">X14-AJ25</f>
        <v>176159.60843733698</v>
      </c>
      <c r="AL25" s="1">
        <f ca="1">V14-AJ25</f>
        <v>0</v>
      </c>
      <c r="AM25" s="1"/>
      <c r="AN25" s="1"/>
      <c r="AO25" s="1"/>
    </row>
    <row r="26" spans="1:41" x14ac:dyDescent="0.25">
      <c r="A26" s="94">
        <f t="shared" ca="1" si="0"/>
        <v>24</v>
      </c>
      <c r="B26" s="95">
        <v>14</v>
      </c>
      <c r="C26">
        <f>MATCH(B26,Inputs!$A$4:$A$81,0)</f>
        <v>8</v>
      </c>
      <c r="D26" t="str">
        <f>INDEX(Inputs!$A$4:$AD$81,Model!$C26,D$90)</f>
        <v>Otorohanga District</v>
      </c>
      <c r="E26">
        <f ca="1">INDEX(Inputs!$A$4:$AD$81,Model!$C26,E$90)</f>
        <v>4944</v>
      </c>
      <c r="F26">
        <f>INDEX(Inputs!$A$4:$AD$81,Model!$C26,F$90)</f>
        <v>1004.8161642928122</v>
      </c>
      <c r="G26">
        <f ca="1">INDEX(Inputs!$A$4:$AD$81,Model!$C26,G$90)</f>
        <v>1.9247910845218905E-7</v>
      </c>
      <c r="H26" s="10">
        <f t="shared" ca="1" si="1"/>
        <v>-0.49733018033577336</v>
      </c>
      <c r="I26" s="14">
        <f t="shared" si="2"/>
        <v>5.6089348876522678E-2</v>
      </c>
      <c r="J26" s="14">
        <f t="shared" ca="1" si="3"/>
        <v>0.23359043514063149</v>
      </c>
      <c r="K26" s="10">
        <f t="shared" ca="1" si="4"/>
        <v>7.108453702424347</v>
      </c>
      <c r="L26" s="14">
        <f t="shared" si="5"/>
        <v>2.0236348011640222</v>
      </c>
      <c r="M26" s="14">
        <f t="shared" ca="1" si="6"/>
        <v>1.1279543706973387</v>
      </c>
      <c r="N26" s="14">
        <f t="shared" ca="1" si="7"/>
        <v>10.260042874285707</v>
      </c>
      <c r="O26" s="14">
        <f t="shared" ca="1" si="14"/>
        <v>0.58638960292174469</v>
      </c>
      <c r="P26" s="11">
        <f t="shared" ca="1" si="15"/>
        <v>0.98694823306643009</v>
      </c>
      <c r="S26" s="26">
        <f t="shared" ca="1" si="8"/>
        <v>0.5789876814913435</v>
      </c>
      <c r="T26" s="18">
        <f ca="1">INDEX(Inputs!BU$4:BU$81,Model!$C26)</f>
        <v>0.57999999999999996</v>
      </c>
      <c r="U26" s="10">
        <f>INDEX(Inputs!Z$4:Z$81,Model!$C26)</f>
        <v>20243386</v>
      </c>
      <c r="V26" s="14">
        <f>INDEX(Inputs!AA$4:AA$81,Model!$C26)</f>
        <v>10828796</v>
      </c>
      <c r="W26" s="11">
        <f>INDEX(Inputs!AB$4:AB$81,Model!$C26)</f>
        <v>9414590</v>
      </c>
      <c r="X26" s="10">
        <f t="shared" ca="1" si="9"/>
        <v>11720671.125674322</v>
      </c>
      <c r="Y26" s="14">
        <f t="shared" ca="1" si="10"/>
        <v>8522714.8743256778</v>
      </c>
      <c r="Z26" s="14">
        <f t="shared" ca="1" si="11"/>
        <v>891875.12567432225</v>
      </c>
      <c r="AA26" s="11">
        <f t="shared" ca="1" si="12"/>
        <v>-891875.12567432225</v>
      </c>
      <c r="AB26" s="33">
        <f t="shared" ca="1" si="16"/>
        <v>8.2361430178786471E-2</v>
      </c>
      <c r="AC26" s="34">
        <f t="shared" ca="1" si="17"/>
        <v>-9.4733294352098416E-2</v>
      </c>
      <c r="AD26" s="26">
        <f t="shared" ca="1" si="18"/>
        <v>-9.8583600279973441E-2</v>
      </c>
      <c r="AE26" s="18">
        <f t="shared" ca="1" si="19"/>
        <v>-9.8583600279973441E-2</v>
      </c>
      <c r="AF26" s="10" t="str">
        <f t="shared" si="13"/>
        <v>Otorohanga District</v>
      </c>
      <c r="AG26" s="42">
        <f t="shared" ca="1" si="20"/>
        <v>0.57999999999999996</v>
      </c>
      <c r="AH26" s="18">
        <f t="shared" ca="1" si="21"/>
        <v>0.57999999999999996</v>
      </c>
      <c r="AI26" s="1"/>
      <c r="AJ26" s="1"/>
      <c r="AK26" s="1"/>
      <c r="AL26" s="1"/>
      <c r="AM26" s="1">
        <f ca="1">MIN(W14,Y14)</f>
        <v>18554916.391562663</v>
      </c>
      <c r="AN26" s="1">
        <f ca="1">Y14-AM26</f>
        <v>0</v>
      </c>
      <c r="AO26" s="1">
        <f ca="1">W14-AM26</f>
        <v>176159.60843733698</v>
      </c>
    </row>
    <row r="27" spans="1:41" x14ac:dyDescent="0.25">
      <c r="A27" s="94">
        <f t="shared" ca="1" si="0"/>
        <v>25</v>
      </c>
      <c r="B27" s="95">
        <v>33</v>
      </c>
      <c r="C27">
        <f>MATCH(B27,Inputs!$A$4:$A$81,0)</f>
        <v>27</v>
      </c>
      <c r="D27" t="str">
        <f>INDEX(Inputs!$A$4:$AD$81,Model!$C27,D$90)</f>
        <v>South Taranaki District</v>
      </c>
      <c r="E27">
        <f ca="1">INDEX(Inputs!$A$4:$AD$81,Model!$C27,E$90)</f>
        <v>14150</v>
      </c>
      <c r="F27">
        <f>INDEX(Inputs!$A$4:$AD$81,Model!$C27,F$90)</f>
        <v>1017.194564475779</v>
      </c>
      <c r="G27">
        <f ca="1">INDEX(Inputs!$A$4:$AD$81,Model!$C27,G$90)</f>
        <v>1.509520301091198E-7</v>
      </c>
      <c r="H27" s="10">
        <f t="shared" ca="1" si="1"/>
        <v>-0.37414913175163372</v>
      </c>
      <c r="I27" s="14">
        <f t="shared" si="2"/>
        <v>0.35168042720948706</v>
      </c>
      <c r="J27" s="14">
        <f t="shared" ca="1" si="3"/>
        <v>-2.459177224640581E-2</v>
      </c>
      <c r="K27" s="10">
        <f t="shared" ca="1" si="4"/>
        <v>6.985272653840207</v>
      </c>
      <c r="L27" s="14">
        <f t="shared" si="5"/>
        <v>2.3192258794969867</v>
      </c>
      <c r="M27" s="14">
        <f t="shared" ca="1" si="6"/>
        <v>0.86977216331030138</v>
      </c>
      <c r="N27" s="14">
        <f t="shared" ca="1" si="7"/>
        <v>10.174270696647495</v>
      </c>
      <c r="O27" s="14">
        <f t="shared" ca="1" si="14"/>
        <v>0.58040124713921648</v>
      </c>
      <c r="P27" s="11">
        <f t="shared" ca="1" si="15"/>
        <v>0.90117605542821799</v>
      </c>
      <c r="R27" s="31"/>
      <c r="S27" s="26">
        <f t="shared" ca="1" si="8"/>
        <v>0.57299220627443248</v>
      </c>
      <c r="T27" s="18">
        <f ca="1">INDEX(Inputs!BU$4:BU$81,Model!$C27)</f>
        <v>0.57999999999999996</v>
      </c>
      <c r="U27" s="10">
        <f>INDEX(Inputs!Z$4:Z$81,Model!$C27)</f>
        <v>48606672</v>
      </c>
      <c r="V27" s="14">
        <f>INDEX(Inputs!AA$4:AA$81,Model!$C27)</f>
        <v>25010931</v>
      </c>
      <c r="W27" s="11">
        <f>INDEX(Inputs!AB$4:AB$81,Model!$C27)</f>
        <v>23595741</v>
      </c>
      <c r="X27" s="10">
        <f t="shared" ca="1" si="9"/>
        <v>27851244.228937682</v>
      </c>
      <c r="Y27" s="14">
        <f t="shared" ca="1" si="10"/>
        <v>20755427.771062318</v>
      </c>
      <c r="Z27" s="14">
        <f t="shared" ca="1" si="11"/>
        <v>2840313.2289376818</v>
      </c>
      <c r="AA27" s="11">
        <f t="shared" ca="1" si="12"/>
        <v>-2840313.2289376818</v>
      </c>
      <c r="AB27" s="33">
        <f t="shared" ca="1" si="16"/>
        <v>0.1135628749260746</v>
      </c>
      <c r="AC27" s="34">
        <f t="shared" ca="1" si="17"/>
        <v>-0.12037397888617618</v>
      </c>
      <c r="AD27" s="26">
        <f t="shared" ca="1" si="18"/>
        <v>-0.31395460639156914</v>
      </c>
      <c r="AE27" s="18">
        <f t="shared" ca="1" si="19"/>
        <v>-0.31395460639156914</v>
      </c>
      <c r="AF27" s="10" t="str">
        <f t="shared" si="13"/>
        <v>South Taranaki District</v>
      </c>
      <c r="AG27" s="42">
        <f t="shared" ca="1" si="20"/>
        <v>0.57999999999999996</v>
      </c>
      <c r="AH27" s="18">
        <f t="shared" ca="1" si="21"/>
        <v>0.56999999999999995</v>
      </c>
      <c r="AI27" s="1"/>
      <c r="AJ27" s="1">
        <f ca="1">MIN(V15,X15)</f>
        <v>10192883</v>
      </c>
      <c r="AK27" s="1">
        <f ca="1">X15-AJ27</f>
        <v>2241448.6981281303</v>
      </c>
      <c r="AL27" s="1">
        <f ca="1">V15-AJ27</f>
        <v>0</v>
      </c>
      <c r="AM27" s="1"/>
      <c r="AN27" s="1"/>
      <c r="AO27" s="1"/>
    </row>
    <row r="28" spans="1:41" x14ac:dyDescent="0.25">
      <c r="A28" s="94">
        <f t="shared" ca="1" si="0"/>
        <v>26</v>
      </c>
      <c r="B28" s="95">
        <v>45</v>
      </c>
      <c r="C28">
        <f>MATCH(B28,Inputs!$A$4:$A$81,0)</f>
        <v>39</v>
      </c>
      <c r="D28" t="str">
        <f>INDEX(Inputs!$A$4:$AD$81,Model!$C28,D$90)</f>
        <v>Masterton District</v>
      </c>
      <c r="E28">
        <f ca="1">INDEX(Inputs!$A$4:$AD$81,Model!$C28,E$90)</f>
        <v>12240</v>
      </c>
      <c r="F28">
        <f>INDEX(Inputs!$A$4:$AD$81,Model!$C28,F$90)</f>
        <v>1012.7568497683653</v>
      </c>
      <c r="G28">
        <f ca="1">INDEX(Inputs!$A$4:$AD$81,Model!$C28,G$90)</f>
        <v>1.6134664869479753E-7</v>
      </c>
      <c r="H28" s="10">
        <f t="shared" ca="1" si="1"/>
        <v>-0.399705921105936</v>
      </c>
      <c r="I28" s="14">
        <f t="shared" si="2"/>
        <v>0.24570963483653702</v>
      </c>
      <c r="J28" s="14">
        <f t="shared" ca="1" si="3"/>
        <v>4.0033664419896586E-2</v>
      </c>
      <c r="K28" s="10">
        <f t="shared" ca="1" si="4"/>
        <v>7.0108294431945097</v>
      </c>
      <c r="L28" s="14">
        <f t="shared" si="5"/>
        <v>2.2132550871240366</v>
      </c>
      <c r="M28" s="14">
        <f t="shared" ca="1" si="6"/>
        <v>0.93439759997660388</v>
      </c>
      <c r="N28" s="14">
        <f t="shared" ca="1" si="7"/>
        <v>10.15848213029515</v>
      </c>
      <c r="O28" s="14">
        <f t="shared" ca="1" si="14"/>
        <v>0.57929893686545042</v>
      </c>
      <c r="P28" s="11">
        <f t="shared" ca="1" si="15"/>
        <v>0.88538748907587284</v>
      </c>
      <c r="R28" s="1"/>
      <c r="S28" s="26">
        <f t="shared" ca="1" si="8"/>
        <v>0.57188858548640353</v>
      </c>
      <c r="T28" s="18">
        <f ca="1">INDEX(Inputs!BU$4:BU$81,Model!$C28)</f>
        <v>0.56999999999999995</v>
      </c>
      <c r="U28" s="10">
        <f>INDEX(Inputs!Z$4:Z$81,Model!$C28)</f>
        <v>26382893</v>
      </c>
      <c r="V28" s="14">
        <f>INDEX(Inputs!AA$4:AA$81,Model!$C28)</f>
        <v>14799705</v>
      </c>
      <c r="W28" s="11">
        <f>INDEX(Inputs!AB$4:AB$81,Model!$C28)</f>
        <v>11583188</v>
      </c>
      <c r="X28" s="10">
        <f t="shared" ca="1" si="9"/>
        <v>15088075.358809138</v>
      </c>
      <c r="Y28" s="14">
        <f t="shared" ca="1" si="10"/>
        <v>11294817.641190862</v>
      </c>
      <c r="Z28" s="14">
        <f t="shared" ca="1" si="11"/>
        <v>288370.35880913772</v>
      </c>
      <c r="AA28" s="11">
        <f t="shared" ca="1" si="12"/>
        <v>-288370.35880913772</v>
      </c>
      <c r="AB28" s="33">
        <f t="shared" ca="1" si="16"/>
        <v>1.9484872084216388E-2</v>
      </c>
      <c r="AC28" s="34">
        <f t="shared" ca="1" si="17"/>
        <v>-2.4895595134011267E-2</v>
      </c>
      <c r="AD28" s="26">
        <f t="shared" ca="1" si="18"/>
        <v>-3.1875076865652552E-2</v>
      </c>
      <c r="AE28" s="18">
        <f t="shared" ca="1" si="19"/>
        <v>-3.1875076865652552E-2</v>
      </c>
      <c r="AF28" s="10" t="str">
        <f t="shared" si="13"/>
        <v>Masterton District</v>
      </c>
      <c r="AG28" s="42">
        <f t="shared" ca="1" si="20"/>
        <v>0.56999999999999995</v>
      </c>
      <c r="AH28" s="18">
        <f t="shared" ca="1" si="21"/>
        <v>0.56999999999999995</v>
      </c>
      <c r="AI28" s="1"/>
      <c r="AJ28" s="1"/>
      <c r="AK28" s="1"/>
      <c r="AL28" s="1"/>
      <c r="AM28" s="1">
        <f ca="1">MIN(W15,Y15)</f>
        <v>7751548.3018718697</v>
      </c>
      <c r="AN28" s="1">
        <f ca="1">Y15-AM28</f>
        <v>0</v>
      </c>
      <c r="AO28" s="1">
        <f ca="1">W15-AM28</f>
        <v>2241448.6981281303</v>
      </c>
    </row>
    <row r="29" spans="1:41" x14ac:dyDescent="0.25">
      <c r="A29" s="94">
        <f t="shared" ca="1" si="0"/>
        <v>27</v>
      </c>
      <c r="B29" s="95">
        <v>34</v>
      </c>
      <c r="C29">
        <f>MATCH(B29,Inputs!$A$4:$A$81,0)</f>
        <v>28</v>
      </c>
      <c r="D29" t="str">
        <f>INDEX(Inputs!$A$4:$AD$81,Model!$C29,D$90)</f>
        <v>Stratford District</v>
      </c>
      <c r="E29">
        <f ca="1">INDEX(Inputs!$A$4:$AD$81,Model!$C29,E$90)</f>
        <v>4971</v>
      </c>
      <c r="F29">
        <f>INDEX(Inputs!$A$4:$AD$81,Model!$C29,F$90)</f>
        <v>996.44773109243692</v>
      </c>
      <c r="G29">
        <f ca="1">INDEX(Inputs!$A$4:$AD$81,Model!$C29,G$90)</f>
        <v>2.0356229150934429E-7</v>
      </c>
      <c r="H29" s="10">
        <f t="shared" ca="1" si="1"/>
        <v>-0.49696890635013663</v>
      </c>
      <c r="I29" s="14">
        <f t="shared" si="2"/>
        <v>-0.14374537589349673</v>
      </c>
      <c r="J29" s="14">
        <f t="shared" ca="1" si="3"/>
        <v>0.30249681576609455</v>
      </c>
      <c r="K29" s="10">
        <f t="shared" ca="1" si="4"/>
        <v>7.1080924284387104</v>
      </c>
      <c r="L29" s="14">
        <f t="shared" si="5"/>
        <v>1.8238000763940028</v>
      </c>
      <c r="M29" s="14">
        <f t="shared" ca="1" si="6"/>
        <v>1.1968607513228018</v>
      </c>
      <c r="N29" s="14">
        <f t="shared" ca="1" si="7"/>
        <v>10.128753256155516</v>
      </c>
      <c r="O29" s="14">
        <f t="shared" ca="1" si="14"/>
        <v>0.57722335617874976</v>
      </c>
      <c r="P29" s="11">
        <f t="shared" ca="1" si="15"/>
        <v>0.85565861493623885</v>
      </c>
      <c r="Q29" s="1"/>
      <c r="S29" s="26">
        <f t="shared" ca="1" si="8"/>
        <v>0.56981053718404306</v>
      </c>
      <c r="T29" s="18">
        <f ca="1">INDEX(Inputs!BU$4:BU$81,Model!$C29)</f>
        <v>0.56999999999999995</v>
      </c>
      <c r="U29" s="10">
        <f>INDEX(Inputs!Z$4:Z$81,Model!$C29)</f>
        <v>17079754</v>
      </c>
      <c r="V29" s="14">
        <f>INDEX(Inputs!AA$4:AA$81,Model!$C29)</f>
        <v>9238751</v>
      </c>
      <c r="W29" s="11">
        <f>INDEX(Inputs!AB$4:AB$81,Model!$C29)</f>
        <v>7841003</v>
      </c>
      <c r="X29" s="10">
        <f t="shared" ca="1" si="9"/>
        <v>9732223.8017113078</v>
      </c>
      <c r="Y29" s="14">
        <f t="shared" ca="1" si="10"/>
        <v>7347530.1982886922</v>
      </c>
      <c r="Z29" s="14">
        <f t="shared" ca="1" si="11"/>
        <v>493472.80171130784</v>
      </c>
      <c r="AA29" s="11">
        <f t="shared" ca="1" si="12"/>
        <v>-493472.80171130784</v>
      </c>
      <c r="AB29" s="33">
        <f t="shared" ca="1" si="16"/>
        <v>5.3413367425023991E-2</v>
      </c>
      <c r="AC29" s="34">
        <f t="shared" ca="1" si="17"/>
        <v>-6.29349079079944E-2</v>
      </c>
      <c r="AD29" s="26">
        <f t="shared" ca="1" si="18"/>
        <v>-5.4546117536537979E-2</v>
      </c>
      <c r="AE29" s="18">
        <f t="shared" ca="1" si="19"/>
        <v>-5.4546117536537979E-2</v>
      </c>
      <c r="AF29" s="10" t="str">
        <f t="shared" si="13"/>
        <v>Stratford District</v>
      </c>
      <c r="AG29" s="42">
        <f t="shared" ca="1" si="20"/>
        <v>0.56999999999999995</v>
      </c>
      <c r="AH29" s="18">
        <f t="shared" ca="1" si="21"/>
        <v>0.56999999999999995</v>
      </c>
      <c r="AI29" s="1"/>
      <c r="AJ29" s="1">
        <f ca="1">MIN(V16,X16)</f>
        <v>27455774.465855233</v>
      </c>
      <c r="AK29" s="1">
        <f ca="1">X16-AJ29</f>
        <v>0</v>
      </c>
      <c r="AL29" s="1">
        <f ca="1">V16-AJ29</f>
        <v>1547067.5341447666</v>
      </c>
      <c r="AM29" s="1"/>
      <c r="AN29" s="1"/>
      <c r="AO29" s="1"/>
    </row>
    <row r="30" spans="1:41" x14ac:dyDescent="0.25">
      <c r="A30" s="94">
        <f t="shared" ca="1" si="0"/>
        <v>28</v>
      </c>
      <c r="B30" s="95">
        <v>71</v>
      </c>
      <c r="C30">
        <f>MATCH(B30,Inputs!$A$4:$A$81,0)</f>
        <v>64</v>
      </c>
      <c r="D30" t="str">
        <f>INDEX(Inputs!$A$4:$AD$81,Model!$C30,D$90)</f>
        <v>Gore District</v>
      </c>
      <c r="E30">
        <f ca="1">INDEX(Inputs!$A$4:$AD$81,Model!$C30,E$90)</f>
        <v>6579</v>
      </c>
      <c r="F30">
        <f>INDEX(Inputs!$A$4:$AD$81,Model!$C30,F$90)</f>
        <v>973.13795620437952</v>
      </c>
      <c r="G30">
        <f ca="1">INDEX(Inputs!$A$4:$AD$81,Model!$C30,G$90)</f>
        <v>2.5969668269877318E-7</v>
      </c>
      <c r="H30" s="10">
        <f t="shared" ca="1" si="1"/>
        <v>-0.47545303342777118</v>
      </c>
      <c r="I30" s="14">
        <f t="shared" si="2"/>
        <v>-0.70037316244225656</v>
      </c>
      <c r="J30" s="14">
        <f t="shared" ca="1" si="3"/>
        <v>0.65149562824896301</v>
      </c>
      <c r="K30" s="10">
        <f t="shared" ca="1" si="4"/>
        <v>7.0865765555163449</v>
      </c>
      <c r="L30" s="14">
        <f t="shared" si="5"/>
        <v>1.2671722898452429</v>
      </c>
      <c r="M30" s="14">
        <f t="shared" ca="1" si="6"/>
        <v>1.5458595638056702</v>
      </c>
      <c r="N30" s="14">
        <f t="shared" ca="1" si="7"/>
        <v>9.8996084091672589</v>
      </c>
      <c r="O30" s="14">
        <f t="shared" ca="1" si="14"/>
        <v>0.56122515131461992</v>
      </c>
      <c r="P30" s="11">
        <f t="shared" ca="1" si="15"/>
        <v>0.62651376794798175</v>
      </c>
      <c r="Q30" s="1"/>
      <c r="S30" s="26">
        <f t="shared" ca="1" si="8"/>
        <v>0.55379331237956397</v>
      </c>
      <c r="T30" s="18">
        <f ca="1">INDEX(Inputs!BU$4:BU$81,Model!$C30)</f>
        <v>0.54</v>
      </c>
      <c r="U30" s="10">
        <f>INDEX(Inputs!Z$4:Z$81,Model!$C30)</f>
        <v>13799089</v>
      </c>
      <c r="V30" s="14">
        <f>INDEX(Inputs!AA$4:AA$81,Model!$C30)</f>
        <v>7818903</v>
      </c>
      <c r="W30" s="11">
        <f>INDEX(Inputs!AB$4:AB$81,Model!$C30)</f>
        <v>5980186</v>
      </c>
      <c r="X30" s="10">
        <f t="shared" ca="1" si="9"/>
        <v>7641843.2051304048</v>
      </c>
      <c r="Y30" s="14">
        <f t="shared" ca="1" si="10"/>
        <v>6157245.7948695952</v>
      </c>
      <c r="Z30" s="14">
        <f t="shared" ca="1" si="11"/>
        <v>-177059.79486959521</v>
      </c>
      <c r="AA30" s="11">
        <f t="shared" ca="1" si="12"/>
        <v>177059.79486959521</v>
      </c>
      <c r="AB30" s="33">
        <f t="shared" ca="1" si="16"/>
        <v>-2.264509418643449E-2</v>
      </c>
      <c r="AC30" s="34">
        <f t="shared" ca="1" si="17"/>
        <v>2.9607740439778162E-2</v>
      </c>
      <c r="AD30" s="26">
        <f t="shared" ca="1" si="18"/>
        <v>1.9571340808368073E-2</v>
      </c>
      <c r="AE30" s="18">
        <f t="shared" ca="1" si="19"/>
        <v>1.9571340808368073E-2</v>
      </c>
      <c r="AF30" s="10" t="str">
        <f t="shared" si="13"/>
        <v>Gore District</v>
      </c>
      <c r="AG30" s="42">
        <f t="shared" ca="1" si="20"/>
        <v>0.54</v>
      </c>
      <c r="AH30" s="18">
        <f t="shared" ca="1" si="21"/>
        <v>0.55000000000000004</v>
      </c>
      <c r="AI30" s="1"/>
      <c r="AJ30" s="1"/>
      <c r="AK30" s="1"/>
      <c r="AL30" s="1"/>
      <c r="AM30" s="1">
        <f ca="1">MIN(W16,Y16)</f>
        <v>16280216</v>
      </c>
      <c r="AN30" s="1">
        <f ca="1">Y16-AM30</f>
        <v>1547067.5341447666</v>
      </c>
      <c r="AO30" s="1">
        <f ca="1">W16-AM30</f>
        <v>0</v>
      </c>
    </row>
    <row r="31" spans="1:41" x14ac:dyDescent="0.25">
      <c r="A31" s="94">
        <f t="shared" ca="1" si="0"/>
        <v>29</v>
      </c>
      <c r="B31" s="95">
        <v>46</v>
      </c>
      <c r="C31">
        <f>MATCH(B31,Inputs!$A$4:$A$81,0)</f>
        <v>40</v>
      </c>
      <c r="D31" t="str">
        <f>INDEX(Inputs!$A$4:$AD$81,Model!$C31,D$90)</f>
        <v>Porirua City</v>
      </c>
      <c r="E31">
        <f ca="1">INDEX(Inputs!$A$4:$AD$81,Model!$C31,E$90)</f>
        <v>18487</v>
      </c>
      <c r="F31">
        <f>INDEX(Inputs!$A$4:$AD$81,Model!$C31,F$90)</f>
        <v>1040.4211604095563</v>
      </c>
      <c r="G31">
        <f ca="1">INDEX(Inputs!$A$4:$AD$81,Model!$C31,G$90)</f>
        <v>2.5578056228157278E-8</v>
      </c>
      <c r="H31" s="10">
        <f t="shared" ca="1" si="1"/>
        <v>-0.31611782524398502</v>
      </c>
      <c r="I31" s="14">
        <f t="shared" si="2"/>
        <v>0.90632193472163081</v>
      </c>
      <c r="J31" s="14">
        <f t="shared" ca="1" si="3"/>
        <v>-0.80406701146399973</v>
      </c>
      <c r="K31" s="10">
        <f t="shared" ca="1" si="4"/>
        <v>6.9272413473325587</v>
      </c>
      <c r="L31" s="14">
        <f t="shared" si="5"/>
        <v>2.8738673870091302</v>
      </c>
      <c r="M31" s="14">
        <f t="shared" ca="1" si="6"/>
        <v>9.0296924092707509E-2</v>
      </c>
      <c r="N31" s="14">
        <f t="shared" ca="1" si="7"/>
        <v>9.8914056584343957</v>
      </c>
      <c r="O31" s="14">
        <f t="shared" ca="1" si="14"/>
        <v>0.56065245989956725</v>
      </c>
      <c r="P31" s="11">
        <f t="shared" ca="1" si="15"/>
        <v>0.6183110172151185</v>
      </c>
      <c r="Q31" s="1"/>
      <c r="R31" s="1"/>
      <c r="S31" s="26">
        <f t="shared" ca="1" si="8"/>
        <v>0.55321994010333675</v>
      </c>
      <c r="T31" s="18">
        <f ca="1">INDEX(Inputs!BU$4:BU$81,Model!$C31)</f>
        <v>0.56000000000000005</v>
      </c>
      <c r="U31" s="10">
        <f>INDEX(Inputs!Z$4:Z$81,Model!$C31)</f>
        <v>15866516</v>
      </c>
      <c r="V31" s="14">
        <f>INDEX(Inputs!AA$4:AA$81,Model!$C31)</f>
        <v>7418641</v>
      </c>
      <c r="W31" s="11">
        <f>INDEX(Inputs!AB$4:AB$81,Model!$C31)</f>
        <v>8447875</v>
      </c>
      <c r="X31" s="10">
        <f t="shared" ca="1" si="9"/>
        <v>8777673.0311686341</v>
      </c>
      <c r="Y31" s="14">
        <f t="shared" ca="1" si="10"/>
        <v>7088842.9688313659</v>
      </c>
      <c r="Z31" s="14">
        <f t="shared" ca="1" si="11"/>
        <v>1359032.0311686341</v>
      </c>
      <c r="AA31" s="11">
        <f t="shared" ca="1" si="12"/>
        <v>-1359032.0311686341</v>
      </c>
      <c r="AB31" s="33">
        <f t="shared" ca="1" si="16"/>
        <v>0.18319150787437133</v>
      </c>
      <c r="AC31" s="34">
        <f t="shared" ca="1" si="17"/>
        <v>-0.16087264917729419</v>
      </c>
      <c r="AD31" s="26">
        <f t="shared" ca="1" si="18"/>
        <v>-0.15022088482074408</v>
      </c>
      <c r="AE31" s="18">
        <f t="shared" ca="1" si="19"/>
        <v>-0.15022088482074408</v>
      </c>
      <c r="AF31" s="10" t="str">
        <f t="shared" si="13"/>
        <v>Porirua City</v>
      </c>
      <c r="AG31" s="42">
        <f t="shared" ca="1" si="20"/>
        <v>0.56000000000000005</v>
      </c>
      <c r="AH31" s="18">
        <f t="shared" ca="1" si="21"/>
        <v>0.55000000000000004</v>
      </c>
      <c r="AI31" s="1"/>
      <c r="AJ31" s="1">
        <f ca="1">MIN(V17,X17)</f>
        <v>34493987.200894795</v>
      </c>
      <c r="AK31" s="1">
        <f ca="1">X17-AJ31</f>
        <v>0</v>
      </c>
      <c r="AL31" s="1">
        <f ca="1">V17-AJ31</f>
        <v>529727.79910520464</v>
      </c>
      <c r="AM31" s="1"/>
      <c r="AN31" s="1"/>
      <c r="AO31" s="1"/>
    </row>
    <row r="32" spans="1:41" x14ac:dyDescent="0.25">
      <c r="A32" s="94">
        <f t="shared" ca="1" si="0"/>
        <v>30</v>
      </c>
      <c r="B32" s="95">
        <v>23</v>
      </c>
      <c r="C32">
        <f>MATCH(B32,Inputs!$A$4:$A$81,0)</f>
        <v>17</v>
      </c>
      <c r="D32" t="str">
        <f>INDEX(Inputs!$A$4:$AD$81,Model!$C32,D$90)</f>
        <v>Rotorua District</v>
      </c>
      <c r="E32">
        <f ca="1">INDEX(Inputs!$A$4:$AD$81,Model!$C32,E$90)</f>
        <v>29447</v>
      </c>
      <c r="F32">
        <f>INDEX(Inputs!$A$4:$AD$81,Model!$C32,F$90)</f>
        <v>1034.2189018241818</v>
      </c>
      <c r="G32">
        <f ca="1">INDEX(Inputs!$A$4:$AD$81,Model!$C32,G$90)</f>
        <v>6.66688816118616E-8</v>
      </c>
      <c r="H32" s="10">
        <f t="shared" ca="1" si="1"/>
        <v>-0.16946734811144423</v>
      </c>
      <c r="I32" s="14">
        <f t="shared" si="2"/>
        <v>0.75821456412026056</v>
      </c>
      <c r="J32" s="14">
        <f t="shared" ca="1" si="3"/>
        <v>-0.54859707656330181</v>
      </c>
      <c r="K32" s="10">
        <f t="shared" ca="1" si="4"/>
        <v>6.7805908702000179</v>
      </c>
      <c r="L32" s="14">
        <f t="shared" si="5"/>
        <v>2.7257600164077602</v>
      </c>
      <c r="M32" s="14">
        <f t="shared" ca="1" si="6"/>
        <v>0.34576685899340542</v>
      </c>
      <c r="N32" s="14">
        <f t="shared" ca="1" si="7"/>
        <v>9.8521177456011841</v>
      </c>
      <c r="O32" s="14">
        <f t="shared" ca="1" si="14"/>
        <v>0.55790949584669458</v>
      </c>
      <c r="P32" s="11">
        <f t="shared" ca="1" si="15"/>
        <v>0.57902310438190696</v>
      </c>
      <c r="S32" s="26">
        <f t="shared" ca="1" si="8"/>
        <v>0.55047371499629527</v>
      </c>
      <c r="T32" s="18">
        <f ca="1">INDEX(Inputs!BU$4:BU$81,Model!$C32)</f>
        <v>0.55000000000000004</v>
      </c>
      <c r="U32" s="10">
        <f>INDEX(Inputs!Z$4:Z$81,Model!$C32)</f>
        <v>52688656</v>
      </c>
      <c r="V32" s="14">
        <f>INDEX(Inputs!AA$4:AA$81,Model!$C32)</f>
        <v>26021940</v>
      </c>
      <c r="W32" s="11">
        <f>INDEX(Inputs!AB$4:AB$81,Model!$C32)</f>
        <v>26666716</v>
      </c>
      <c r="X32" s="10">
        <f t="shared" ca="1" si="9"/>
        <v>29003720.206481844</v>
      </c>
      <c r="Y32" s="14">
        <f t="shared" ca="1" si="10"/>
        <v>23684935.793518156</v>
      </c>
      <c r="Z32" s="14">
        <f t="shared" ca="1" si="11"/>
        <v>2981780.2064818442</v>
      </c>
      <c r="AA32" s="11">
        <f t="shared" ca="1" si="12"/>
        <v>-2981780.2064818442</v>
      </c>
      <c r="AB32" s="33">
        <f t="shared" ca="1" si="16"/>
        <v>0.11458716016107347</v>
      </c>
      <c r="AC32" s="34">
        <f t="shared" ca="1" si="17"/>
        <v>-0.11181655088245003</v>
      </c>
      <c r="AD32" s="26">
        <f t="shared" ca="1" si="18"/>
        <v>-0.32959168782321602</v>
      </c>
      <c r="AE32" s="18">
        <f t="shared" ca="1" si="19"/>
        <v>-0.32959168782321602</v>
      </c>
      <c r="AF32" s="10" t="str">
        <f t="shared" si="13"/>
        <v>Rotorua District</v>
      </c>
      <c r="AG32" s="42">
        <f t="shared" ca="1" si="20"/>
        <v>0.55000000000000004</v>
      </c>
      <c r="AH32" s="18">
        <f t="shared" ca="1" si="21"/>
        <v>0.55000000000000004</v>
      </c>
      <c r="AI32" s="1"/>
      <c r="AJ32" s="1"/>
      <c r="AK32" s="1"/>
      <c r="AL32" s="1"/>
      <c r="AM32" s="1">
        <f ca="1">MIN(W17,Y17)</f>
        <v>22262405</v>
      </c>
      <c r="AN32" s="1">
        <f ca="1">Y17-AM32</f>
        <v>529727.79910520464</v>
      </c>
      <c r="AO32" s="1">
        <f ca="1">W17-AM32</f>
        <v>0</v>
      </c>
    </row>
    <row r="33" spans="1:41" x14ac:dyDescent="0.25">
      <c r="A33" s="94">
        <f t="shared" ca="1" si="0"/>
        <v>31</v>
      </c>
      <c r="B33" s="95">
        <v>70</v>
      </c>
      <c r="C33">
        <f>MATCH(B33,Inputs!$A$4:$A$81,0)</f>
        <v>63</v>
      </c>
      <c r="D33" t="str">
        <f>INDEX(Inputs!$A$4:$AD$81,Model!$C33,D$90)</f>
        <v>Waitaki District</v>
      </c>
      <c r="E33">
        <f ca="1">INDEX(Inputs!$A$4:$AD$81,Model!$C33,E$90)</f>
        <v>13773</v>
      </c>
      <c r="F33">
        <f>INDEX(Inputs!$A$4:$AD$81,Model!$C33,F$90)</f>
        <v>981.62574760765551</v>
      </c>
      <c r="G33">
        <f ca="1">INDEX(Inputs!$A$4:$AD$81,Model!$C33,G$90)</f>
        <v>2.3365932234546926E-7</v>
      </c>
      <c r="H33" s="10">
        <f t="shared" ca="1" si="1"/>
        <v>-0.37919358703256145</v>
      </c>
      <c r="I33" s="14">
        <f t="shared" si="2"/>
        <v>-0.49768821313741829</v>
      </c>
      <c r="J33" s="14">
        <f t="shared" ca="1" si="3"/>
        <v>0.4896161164034184</v>
      </c>
      <c r="K33" s="10">
        <f t="shared" ca="1" si="4"/>
        <v>6.9903171091211345</v>
      </c>
      <c r="L33" s="14">
        <f t="shared" si="5"/>
        <v>1.4698572391500813</v>
      </c>
      <c r="M33" s="14">
        <f t="shared" ca="1" si="6"/>
        <v>1.3839800519601257</v>
      </c>
      <c r="N33" s="14">
        <f t="shared" ca="1" si="7"/>
        <v>9.8441544002313428</v>
      </c>
      <c r="O33" s="14">
        <f t="shared" ca="1" si="14"/>
        <v>0.55735351899491281</v>
      </c>
      <c r="P33" s="11">
        <f t="shared" ca="1" si="15"/>
        <v>0.57105975901206563</v>
      </c>
      <c r="S33" s="26">
        <f t="shared" ca="1" si="8"/>
        <v>0.54991707715494342</v>
      </c>
      <c r="T33" s="18">
        <f ca="1">INDEX(Inputs!BU$4:BU$81,Model!$C33)</f>
        <v>0.55000000000000004</v>
      </c>
      <c r="U33" s="10">
        <f>INDEX(Inputs!Z$4:Z$81,Model!$C33)</f>
        <v>32331277</v>
      </c>
      <c r="V33" s="14">
        <f>INDEX(Inputs!AA$4:AA$81,Model!$C33)</f>
        <v>18817034</v>
      </c>
      <c r="W33" s="11">
        <f>INDEX(Inputs!AB$4:AB$81,Model!$C33)</f>
        <v>13514243</v>
      </c>
      <c r="X33" s="10">
        <f t="shared" ca="1" si="9"/>
        <v>17779521.348526847</v>
      </c>
      <c r="Y33" s="14">
        <f t="shared" ca="1" si="10"/>
        <v>14551755.651473153</v>
      </c>
      <c r="Z33" s="14">
        <f t="shared" ca="1" si="11"/>
        <v>-1037512.6514731534</v>
      </c>
      <c r="AA33" s="11">
        <f t="shared" ca="1" si="12"/>
        <v>1037512.6514731534</v>
      </c>
      <c r="AB33" s="33">
        <f t="shared" ca="1" si="16"/>
        <v>-5.5136885625713034E-2</v>
      </c>
      <c r="AC33" s="34">
        <f t="shared" ca="1" si="17"/>
        <v>7.677179191414224E-2</v>
      </c>
      <c r="AD33" s="26">
        <f t="shared" ca="1" si="18"/>
        <v>0.11468167411991936</v>
      </c>
      <c r="AE33" s="18">
        <f t="shared" ca="1" si="19"/>
        <v>0.11468167411991936</v>
      </c>
      <c r="AF33" s="10" t="str">
        <f t="shared" si="13"/>
        <v>Waitaki District</v>
      </c>
      <c r="AG33" s="42">
        <f t="shared" ca="1" si="20"/>
        <v>0.55000000000000004</v>
      </c>
      <c r="AH33" s="18">
        <f t="shared" ca="1" si="21"/>
        <v>0.55000000000000004</v>
      </c>
      <c r="AI33" s="1"/>
      <c r="AJ33" s="1">
        <f ca="1">MIN(V18,X18)</f>
        <v>22640229</v>
      </c>
      <c r="AK33" s="1">
        <f ca="1">X18-AJ33</f>
        <v>700525.50767806917</v>
      </c>
      <c r="AL33" s="1">
        <f ca="1">V18-AJ33</f>
        <v>0</v>
      </c>
      <c r="AM33" s="1"/>
      <c r="AN33" s="1"/>
      <c r="AO33" s="1"/>
    </row>
    <row r="34" spans="1:41" x14ac:dyDescent="0.25">
      <c r="A34" s="94">
        <f t="shared" ca="1" si="0"/>
        <v>32</v>
      </c>
      <c r="B34" s="95">
        <v>29</v>
      </c>
      <c r="C34">
        <f>MATCH(B34,Inputs!$A$4:$A$81,0)</f>
        <v>23</v>
      </c>
      <c r="D34" t="str">
        <f>INDEX(Inputs!$A$4:$AD$81,Model!$C34,D$90)</f>
        <v>Hastings District</v>
      </c>
      <c r="E34">
        <f ca="1">INDEX(Inputs!$A$4:$AD$81,Model!$C34,E$90)</f>
        <v>30736</v>
      </c>
      <c r="F34">
        <f>INDEX(Inputs!$A$4:$AD$81,Model!$C34,F$90)</f>
        <v>1020.8356799523586</v>
      </c>
      <c r="G34">
        <f ca="1">INDEX(Inputs!$A$4:$AD$81,Model!$C34,G$90)</f>
        <v>8.8872717650713286E-8</v>
      </c>
      <c r="H34" s="10">
        <f t="shared" ca="1" si="1"/>
        <v>-0.15221986042678681</v>
      </c>
      <c r="I34" s="14">
        <f t="shared" si="2"/>
        <v>0.43862875931609024</v>
      </c>
      <c r="J34" s="14">
        <f t="shared" ca="1" si="3"/>
        <v>-0.4105513572470682</v>
      </c>
      <c r="K34" s="10">
        <f t="shared" ca="1" si="4"/>
        <v>6.7633433825153606</v>
      </c>
      <c r="L34" s="14">
        <f t="shared" si="5"/>
        <v>2.4061742116035898</v>
      </c>
      <c r="M34" s="14">
        <f t="shared" ca="1" si="6"/>
        <v>0.48381257830963903</v>
      </c>
      <c r="N34" s="14">
        <f t="shared" ca="1" si="7"/>
        <v>9.6533301724285892</v>
      </c>
      <c r="O34" s="14">
        <f t="shared" ca="1" si="14"/>
        <v>0.54403074464692902</v>
      </c>
      <c r="P34" s="11">
        <f t="shared" ca="1" si="15"/>
        <v>0.38023553120931197</v>
      </c>
      <c r="Q34" s="1"/>
      <c r="S34" s="26">
        <f t="shared" ca="1" si="8"/>
        <v>0.53657846363153094</v>
      </c>
      <c r="T34" s="18">
        <f ca="1">INDEX(Inputs!BU$4:BU$81,Model!$C34)</f>
        <v>0.54</v>
      </c>
      <c r="U34" s="10">
        <f>INDEX(Inputs!Z$4:Z$81,Model!$C34)</f>
        <v>75750748</v>
      </c>
      <c r="V34" s="14">
        <f>INDEX(Inputs!AA$4:AA$81,Model!$C34)</f>
        <v>40519442</v>
      </c>
      <c r="W34" s="11">
        <f>INDEX(Inputs!AB$4:AB$81,Model!$C34)</f>
        <v>35231306</v>
      </c>
      <c r="X34" s="10">
        <f t="shared" ca="1" si="9"/>
        <v>40646219.980779268</v>
      </c>
      <c r="Y34" s="14">
        <f t="shared" ca="1" si="10"/>
        <v>35104528.019220732</v>
      </c>
      <c r="Z34" s="14">
        <f t="shared" ca="1" si="11"/>
        <v>126777.98077926785</v>
      </c>
      <c r="AA34" s="11">
        <f t="shared" ca="1" si="12"/>
        <v>-126777.98077926785</v>
      </c>
      <c r="AB34" s="33">
        <f t="shared" ca="1" si="16"/>
        <v>3.128818525666465E-3</v>
      </c>
      <c r="AC34" s="34">
        <f t="shared" ca="1" si="17"/>
        <v>-3.5984468125952484E-3</v>
      </c>
      <c r="AD34" s="26">
        <f t="shared" ca="1" si="18"/>
        <v>-1.4013430155926739E-2</v>
      </c>
      <c r="AE34" s="18">
        <f t="shared" ca="1" si="19"/>
        <v>-1.4013430155926739E-2</v>
      </c>
      <c r="AF34" s="10" t="str">
        <f t="shared" si="13"/>
        <v>Hastings District</v>
      </c>
      <c r="AG34" s="42">
        <f t="shared" ca="1" si="20"/>
        <v>0.54</v>
      </c>
      <c r="AH34" s="18">
        <f t="shared" ca="1" si="21"/>
        <v>0.54</v>
      </c>
      <c r="AI34" s="1"/>
      <c r="AJ34" s="1"/>
      <c r="AK34" s="1"/>
      <c r="AL34" s="1"/>
      <c r="AM34" s="1">
        <f ca="1">MIN(W18,Y18)</f>
        <v>15623236.492321931</v>
      </c>
      <c r="AN34" s="1">
        <f ca="1">Y18-AM34</f>
        <v>0</v>
      </c>
      <c r="AO34" s="1">
        <f ca="1">W18-AM34</f>
        <v>700525.50767806917</v>
      </c>
    </row>
    <row r="35" spans="1:41" x14ac:dyDescent="0.25">
      <c r="A35" s="94">
        <f t="shared" ref="A35:A66" ca="1" si="22">RANK(P35,P$3:P$80,0)</f>
        <v>33</v>
      </c>
      <c r="B35" s="95">
        <v>81</v>
      </c>
      <c r="C35">
        <f>MATCH(B35,Inputs!$A$4:$A$81,0)</f>
        <v>68</v>
      </c>
      <c r="D35" t="str">
        <f>INDEX(Inputs!$A$4:$AD$81,Model!$C35,D$90)</f>
        <v>Northland Regional</v>
      </c>
      <c r="E35">
        <f ca="1">INDEX(Inputs!$A$4:$AD$81,Model!$C35,E$90)</f>
        <v>91570</v>
      </c>
      <c r="F35">
        <f>INDEX(Inputs!$A$4:$AD$81,Model!$C35,F$90)</f>
        <v>1042.1326923076922</v>
      </c>
      <c r="G35">
        <f ca="1">INDEX(Inputs!$A$4:$AD$81,Model!$C35,G$90)</f>
        <v>1.3277045684347875E-7</v>
      </c>
      <c r="H35" s="10">
        <f t="shared" ref="H35:H66" ca="1" si="23">STANDARDIZE(E35,E$87,E$88)</f>
        <v>0.66177057076673396</v>
      </c>
      <c r="I35" s="14">
        <f t="shared" ref="I35:I66" si="24">STANDARDIZE(F35,F$87,F$88)</f>
        <v>0.94719260879043576</v>
      </c>
      <c r="J35" s="14">
        <f t="shared" ref="J35:J66" ca="1" si="25">STANDARDIZE(G35,G$87,G$88)</f>
        <v>-0.13763027403341618</v>
      </c>
      <c r="K35" s="10">
        <f t="shared" ref="K35:K66" ca="1" si="26">IF(E$91=0,0,E$92*IF(E$91&lt;0,H35-H$82,H$83-H35))</f>
        <v>5.9493529513218393</v>
      </c>
      <c r="L35" s="14">
        <f t="shared" ref="L35:L66" si="27">IF(F$91=0,0,F$92*IF(F$91&lt;0,I35-I$82,I$83-I35))</f>
        <v>2.9147380610779354</v>
      </c>
      <c r="M35" s="14">
        <f t="shared" ref="M35:M66" ca="1" si="28">IF(G$91=0,0,G$92*IF(G$91&lt;0,J35-J$82,J$83-J35))</f>
        <v>0.75673366152329102</v>
      </c>
      <c r="N35" s="14">
        <f t="shared" ref="N35:N66" ca="1" si="29">SUM(K35:M35)</f>
        <v>9.6208246739230674</v>
      </c>
      <c r="O35" s="14">
        <f t="shared" ca="1" si="14"/>
        <v>0.54176130838799952</v>
      </c>
      <c r="P35" s="11">
        <f t="shared" ca="1" si="15"/>
        <v>0.34773003270379022</v>
      </c>
      <c r="S35" s="26">
        <f t="shared" ref="S35:S66" ca="1" si="30">MAX(IF(B35=74,$R$11,$R$12),MIN($R$10,$R$12+$R$15*P35))</f>
        <v>0.53430632928599497</v>
      </c>
      <c r="T35" s="18">
        <f ca="1">INDEX(Inputs!BU$4:BU$81,Model!$C35)</f>
        <v>0.54</v>
      </c>
      <c r="U35" s="10">
        <f>INDEX(Inputs!Z$4:Z$81,Model!$C35)</f>
        <v>5208167</v>
      </c>
      <c r="V35" s="14">
        <f>INDEX(Inputs!AA$4:AA$81,Model!$C35)</f>
        <v>2932967</v>
      </c>
      <c r="W35" s="11">
        <f>INDEX(Inputs!AB$4:AB$81,Model!$C35)</f>
        <v>2275200</v>
      </c>
      <c r="X35" s="10">
        <f t="shared" ref="X35:X66" ca="1" si="31">U35*S35</f>
        <v>2782756.5920784525</v>
      </c>
      <c r="Y35" s="14">
        <f t="shared" ref="Y35:Y66" ca="1" si="32">U35-X35</f>
        <v>2425410.4079215475</v>
      </c>
      <c r="Z35" s="14">
        <f t="shared" ref="Z35:Z66" ca="1" si="33">X35-V35</f>
        <v>-150210.40792154754</v>
      </c>
      <c r="AA35" s="11">
        <f t="shared" ref="AA35:AA66" ca="1" si="34">Y35-W35</f>
        <v>150210.40792154754</v>
      </c>
      <c r="AB35" s="33">
        <f t="shared" ca="1" si="16"/>
        <v>-5.1214489600990239E-2</v>
      </c>
      <c r="AC35" s="34">
        <f t="shared" ca="1" si="17"/>
        <v>6.6020748910666116E-2</v>
      </c>
      <c r="AD35" s="26">
        <f t="shared" ca="1" si="18"/>
        <v>1.6603538305021641E-2</v>
      </c>
      <c r="AE35" s="18">
        <f t="shared" ca="1" si="19"/>
        <v>1.6603538305021641E-2</v>
      </c>
      <c r="AF35" s="10" t="str">
        <f t="shared" ref="AF35:AF66" si="35">D35</f>
        <v>Northland Regional</v>
      </c>
      <c r="AG35" s="42">
        <f t="shared" ca="1" si="20"/>
        <v>0.54</v>
      </c>
      <c r="AH35" s="18">
        <f t="shared" ca="1" si="21"/>
        <v>0.53</v>
      </c>
      <c r="AI35" s="1"/>
      <c r="AJ35" s="1">
        <f ca="1">MIN(V19,X19)</f>
        <v>388793.76677245571</v>
      </c>
      <c r="AK35" s="1">
        <f ca="1">X19-AJ35</f>
        <v>0</v>
      </c>
      <c r="AL35" s="1">
        <f ca="1">V19-AJ35</f>
        <v>45721.23322754429</v>
      </c>
      <c r="AM35" s="1"/>
      <c r="AN35" s="1"/>
      <c r="AO35" s="1"/>
    </row>
    <row r="36" spans="1:41" x14ac:dyDescent="0.25">
      <c r="A36" s="94">
        <f t="shared" ca="1" si="22"/>
        <v>34</v>
      </c>
      <c r="B36" s="95">
        <v>3</v>
      </c>
      <c r="C36">
        <f>MATCH(B36,Inputs!$A$4:$A$81,0)</f>
        <v>3</v>
      </c>
      <c r="D36" t="str">
        <f>INDEX(Inputs!$A$4:$AD$81,Model!$C36,D$90)</f>
        <v>Whangarei District</v>
      </c>
      <c r="E36">
        <f ca="1">INDEX(Inputs!$A$4:$AD$81,Model!$C36,E$90)</f>
        <v>40867</v>
      </c>
      <c r="F36">
        <f>INDEX(Inputs!$A$4:$AD$81,Model!$C36,F$90)</f>
        <v>1021.9225861163833</v>
      </c>
      <c r="G36">
        <f ca="1">INDEX(Inputs!$A$4:$AD$81,Model!$C36,G$90)</f>
        <v>8.0737472072174773E-8</v>
      </c>
      <c r="H36" s="10">
        <f t="shared" ca="1" si="23"/>
        <v>-1.6661832705092392E-2</v>
      </c>
      <c r="I36" s="14">
        <f t="shared" si="24"/>
        <v>0.46458362911524936</v>
      </c>
      <c r="J36" s="14">
        <f t="shared" ca="1" si="25"/>
        <v>-0.46112981701134043</v>
      </c>
      <c r="K36" s="10">
        <f t="shared" ca="1" si="26"/>
        <v>6.6277853547936658</v>
      </c>
      <c r="L36" s="14">
        <f t="shared" si="27"/>
        <v>2.4321290814027487</v>
      </c>
      <c r="M36" s="14">
        <f t="shared" ca="1" si="28"/>
        <v>0.43323411854536681</v>
      </c>
      <c r="N36" s="14">
        <f t="shared" ca="1" si="29"/>
        <v>9.4931485547417811</v>
      </c>
      <c r="O36" s="14">
        <f t="shared" ca="1" si="14"/>
        <v>0.53284734528664313</v>
      </c>
      <c r="P36" s="11">
        <f t="shared" ca="1" si="15"/>
        <v>0.22005391352250392</v>
      </c>
      <c r="S36" s="26">
        <f t="shared" ca="1" si="30"/>
        <v>0.52538176855522301</v>
      </c>
      <c r="T36" s="18">
        <f ca="1">INDEX(Inputs!BU$4:BU$81,Model!$C36)</f>
        <v>0.53</v>
      </c>
      <c r="U36" s="10">
        <f>INDEX(Inputs!Z$4:Z$81,Model!$C36)</f>
        <v>116891808</v>
      </c>
      <c r="V36" s="14">
        <f>INDEX(Inputs!AA$4:AA$81,Model!$C36)</f>
        <v>62469970</v>
      </c>
      <c r="W36" s="11">
        <f>INDEX(Inputs!AB$4:AB$81,Model!$C36)</f>
        <v>54421838</v>
      </c>
      <c r="X36" s="10">
        <f t="shared" ca="1" si="31"/>
        <v>61412824.816657566</v>
      </c>
      <c r="Y36" s="14">
        <f t="shared" ca="1" si="32"/>
        <v>55478983.183342434</v>
      </c>
      <c r="Z36" s="14">
        <f t="shared" ca="1" si="33"/>
        <v>-1057145.1833424345</v>
      </c>
      <c r="AA36" s="11">
        <f t="shared" ca="1" si="34"/>
        <v>1057145.1833424345</v>
      </c>
      <c r="AB36" s="33">
        <f t="shared" ca="1" si="16"/>
        <v>-1.692245383409716E-2</v>
      </c>
      <c r="AC36" s="34">
        <f t="shared" ca="1" si="17"/>
        <v>1.942501801101305E-2</v>
      </c>
      <c r="AD36" s="26">
        <f t="shared" ca="1" si="18"/>
        <v>0.11685176006420636</v>
      </c>
      <c r="AE36" s="18">
        <f t="shared" ca="1" si="19"/>
        <v>0.11685176006420636</v>
      </c>
      <c r="AF36" s="10" t="str">
        <f t="shared" si="35"/>
        <v>Whangarei District</v>
      </c>
      <c r="AG36" s="42">
        <f t="shared" ca="1" si="20"/>
        <v>0.53</v>
      </c>
      <c r="AH36" s="18">
        <f t="shared" ca="1" si="21"/>
        <v>0.53</v>
      </c>
      <c r="AI36" s="1"/>
      <c r="AJ36" s="1"/>
      <c r="AK36" s="1"/>
      <c r="AL36" s="1"/>
      <c r="AM36" s="1">
        <f ca="1">MIN(W19,Y19)</f>
        <v>218038</v>
      </c>
      <c r="AN36" s="1">
        <f ca="1">Y19-AM36</f>
        <v>45721.23322754429</v>
      </c>
      <c r="AO36" s="1">
        <f ca="1">W19-AM36</f>
        <v>0</v>
      </c>
    </row>
    <row r="37" spans="1:41" x14ac:dyDescent="0.25">
      <c r="A37" s="94">
        <f t="shared" ca="1" si="22"/>
        <v>35</v>
      </c>
      <c r="B37" s="95">
        <v>36</v>
      </c>
      <c r="C37">
        <f>MATCH(B37,Inputs!$A$4:$A$81,0)</f>
        <v>30</v>
      </c>
      <c r="D37" t="str">
        <f>INDEX(Inputs!$A$4:$AD$81,Model!$C37,D$90)</f>
        <v>Manawatu District</v>
      </c>
      <c r="E37">
        <f ca="1">INDEX(Inputs!$A$4:$AD$81,Model!$C37,E$90)</f>
        <v>13552</v>
      </c>
      <c r="F37">
        <f>INDEX(Inputs!$A$4:$AD$81,Model!$C37,F$90)</f>
        <v>982.91856677524424</v>
      </c>
      <c r="G37">
        <f ca="1">INDEX(Inputs!$A$4:$AD$81,Model!$C37,G$90)</f>
        <v>1.7144738159792624E-7</v>
      </c>
      <c r="H37" s="10">
        <f t="shared" ca="1" si="23"/>
        <v>-0.38215068150758802</v>
      </c>
      <c r="I37" s="14">
        <f t="shared" si="24"/>
        <v>-0.4668162259509861</v>
      </c>
      <c r="J37" s="14">
        <f t="shared" ca="1" si="25"/>
        <v>0.10283195462496438</v>
      </c>
      <c r="K37" s="10">
        <f t="shared" ca="1" si="26"/>
        <v>6.9932742035961617</v>
      </c>
      <c r="L37" s="14">
        <f t="shared" si="27"/>
        <v>1.5007292263365135</v>
      </c>
      <c r="M37" s="14">
        <f t="shared" ca="1" si="28"/>
        <v>0.99719589018167165</v>
      </c>
      <c r="N37" s="14">
        <f t="shared" ca="1" si="29"/>
        <v>9.4911993201143474</v>
      </c>
      <c r="O37" s="14">
        <f t="shared" ca="1" si="14"/>
        <v>0.53271125558046906</v>
      </c>
      <c r="P37" s="11">
        <f t="shared" ca="1" si="15"/>
        <v>0.21810467889507024</v>
      </c>
      <c r="S37" s="26">
        <f t="shared" ca="1" si="30"/>
        <v>0.52524551705476541</v>
      </c>
      <c r="T37" s="18">
        <f ca="1">INDEX(Inputs!BU$4:BU$81,Model!$C37)</f>
        <v>0.53</v>
      </c>
      <c r="U37" s="10">
        <f>INDEX(Inputs!Z$4:Z$81,Model!$C37)</f>
        <v>41278534</v>
      </c>
      <c r="V37" s="14">
        <f>INDEX(Inputs!AA$4:AA$81,Model!$C37)</f>
        <v>21885948</v>
      </c>
      <c r="W37" s="11">
        <f>INDEX(Inputs!AB$4:AB$81,Model!$C37)</f>
        <v>19392586</v>
      </c>
      <c r="X37" s="10">
        <f t="shared" ca="1" si="31"/>
        <v>21681364.934092715</v>
      </c>
      <c r="Y37" s="14">
        <f t="shared" ca="1" si="32"/>
        <v>19597169.065907285</v>
      </c>
      <c r="Z37" s="14">
        <f t="shared" ca="1" si="33"/>
        <v>-204583.06590728462</v>
      </c>
      <c r="AA37" s="11">
        <f t="shared" ca="1" si="34"/>
        <v>204583.06590728462</v>
      </c>
      <c r="AB37" s="33">
        <f t="shared" ca="1" si="16"/>
        <v>-9.3476903951012144E-3</v>
      </c>
      <c r="AC37" s="34">
        <f t="shared" ca="1" si="17"/>
        <v>1.0549550529634605E-2</v>
      </c>
      <c r="AD37" s="26">
        <f t="shared" ca="1" si="18"/>
        <v>2.2613631228033559E-2</v>
      </c>
      <c r="AE37" s="18">
        <f t="shared" ca="1" si="19"/>
        <v>2.2613631228033559E-2</v>
      </c>
      <c r="AF37" s="10" t="str">
        <f t="shared" si="35"/>
        <v>Manawatu District</v>
      </c>
      <c r="AG37" s="42">
        <f t="shared" ca="1" si="20"/>
        <v>0.53</v>
      </c>
      <c r="AH37" s="18">
        <f t="shared" ca="1" si="21"/>
        <v>0.53</v>
      </c>
      <c r="AI37" s="1"/>
      <c r="AJ37" s="1">
        <f ca="1">MIN(V20,X20)</f>
        <v>11332393.17</v>
      </c>
      <c r="AK37" s="1">
        <f ca="1">X20-AJ37</f>
        <v>1022533.6128163226</v>
      </c>
      <c r="AL37" s="1">
        <f ca="1">V20-AJ37</f>
        <v>0</v>
      </c>
      <c r="AM37" s="1"/>
      <c r="AN37" s="1"/>
      <c r="AO37" s="1"/>
    </row>
    <row r="38" spans="1:41" x14ac:dyDescent="0.25">
      <c r="A38" s="94">
        <f t="shared" ca="1" si="22"/>
        <v>36</v>
      </c>
      <c r="B38" s="95">
        <v>42</v>
      </c>
      <c r="C38">
        <f>MATCH(B38,Inputs!$A$4:$A$81,0)</f>
        <v>36</v>
      </c>
      <c r="D38" t="str">
        <f>INDEX(Inputs!$A$4:$AD$81,Model!$C38,D$90)</f>
        <v>Carterton District</v>
      </c>
      <c r="E38">
        <f ca="1">INDEX(Inputs!$A$4:$AD$81,Model!$C38,E$90)</f>
        <v>4592</v>
      </c>
      <c r="F38">
        <f>INDEX(Inputs!$A$4:$AD$81,Model!$C38,F$90)</f>
        <v>970.88393608074011</v>
      </c>
      <c r="G38">
        <f ca="1">INDEX(Inputs!$A$4:$AD$81,Model!$C38,G$90)</f>
        <v>1.9354285711977992E-7</v>
      </c>
      <c r="H38" s="10">
        <f t="shared" ca="1" si="23"/>
        <v>-0.50204012266703746</v>
      </c>
      <c r="I38" s="14">
        <f t="shared" si="24"/>
        <v>-0.75419823103614403</v>
      </c>
      <c r="J38" s="14">
        <f t="shared" ca="1" si="25"/>
        <v>0.24020397478902017</v>
      </c>
      <c r="K38" s="10">
        <f t="shared" ca="1" si="26"/>
        <v>7.1131636447556108</v>
      </c>
      <c r="L38" s="14">
        <f t="shared" si="27"/>
        <v>1.2133472212513556</v>
      </c>
      <c r="M38" s="14">
        <f t="shared" ca="1" si="28"/>
        <v>1.1345679103457273</v>
      </c>
      <c r="N38" s="14">
        <f t="shared" ca="1" si="29"/>
        <v>9.4610787763526929</v>
      </c>
      <c r="O38" s="14">
        <f t="shared" ca="1" si="14"/>
        <v>0.53060832969733696</v>
      </c>
      <c r="P38" s="11">
        <f t="shared" ca="1" si="15"/>
        <v>0.18798413513341572</v>
      </c>
      <c r="S38" s="26">
        <f t="shared" ca="1" si="30"/>
        <v>0.52314009104582582</v>
      </c>
      <c r="T38" s="18">
        <f ca="1">INDEX(Inputs!BU$4:BU$81,Model!$C38)</f>
        <v>0.53</v>
      </c>
      <c r="U38" s="10">
        <f>INDEX(Inputs!Z$4:Z$81,Model!$C38)</f>
        <v>10961682</v>
      </c>
      <c r="V38" s="14">
        <f>INDEX(Inputs!AA$4:AA$81,Model!$C38)</f>
        <v>5840782</v>
      </c>
      <c r="W38" s="11">
        <f>INDEX(Inputs!AB$4:AB$81,Model!$C38)</f>
        <v>5120900</v>
      </c>
      <c r="X38" s="10">
        <f t="shared" ca="1" si="31"/>
        <v>5734495.3194953902</v>
      </c>
      <c r="Y38" s="14">
        <f t="shared" ca="1" si="32"/>
        <v>5227186.6805046098</v>
      </c>
      <c r="Z38" s="14">
        <f t="shared" ca="1" si="33"/>
        <v>-106286.68050460983</v>
      </c>
      <c r="AA38" s="11">
        <f t="shared" ca="1" si="34"/>
        <v>106286.68050460983</v>
      </c>
      <c r="AB38" s="33">
        <f t="shared" ca="1" si="16"/>
        <v>-1.8197337360752349E-2</v>
      </c>
      <c r="AC38" s="34">
        <f t="shared" ca="1" si="17"/>
        <v>2.0755468863795392E-2</v>
      </c>
      <c r="AD38" s="26">
        <f t="shared" ca="1" si="18"/>
        <v>1.1748420069490648E-2</v>
      </c>
      <c r="AE38" s="18">
        <f t="shared" ca="1" si="19"/>
        <v>1.1748420069490648E-2</v>
      </c>
      <c r="AF38" s="10" t="str">
        <f t="shared" si="35"/>
        <v>Carterton District</v>
      </c>
      <c r="AG38" s="42">
        <f t="shared" ca="1" si="20"/>
        <v>0.53</v>
      </c>
      <c r="AH38" s="18">
        <f t="shared" ca="1" si="21"/>
        <v>0.52</v>
      </c>
      <c r="AI38" s="1"/>
      <c r="AJ38" s="1"/>
      <c r="AK38" s="1"/>
      <c r="AL38" s="1"/>
      <c r="AM38" s="1">
        <f ca="1">MIN(W20,Y20)</f>
        <v>8490549.2271836754</v>
      </c>
      <c r="AN38" s="1">
        <f ca="1">Y20-AM38</f>
        <v>0</v>
      </c>
      <c r="AO38" s="1">
        <f ca="1">W20-AM38</f>
        <v>1022533.6128163226</v>
      </c>
    </row>
    <row r="39" spans="1:41" x14ac:dyDescent="0.25">
      <c r="A39" s="94">
        <f t="shared" ca="1" si="22"/>
        <v>37</v>
      </c>
      <c r="B39" s="95">
        <v>47</v>
      </c>
      <c r="C39">
        <f>MATCH(B39,Inputs!$A$4:$A$81,0)</f>
        <v>41</v>
      </c>
      <c r="D39" t="str">
        <f>INDEX(Inputs!$A$4:$AD$81,Model!$C39,D$90)</f>
        <v>South Wairarapa District</v>
      </c>
      <c r="E39">
        <f ca="1">INDEX(Inputs!$A$4:$AD$81,Model!$C39,E$90)</f>
        <v>6524</v>
      </c>
      <c r="F39">
        <f>INDEX(Inputs!$A$4:$AD$81,Model!$C39,F$90)</f>
        <v>974.01822477219037</v>
      </c>
      <c r="G39">
        <f ca="1">INDEX(Inputs!$A$4:$AD$81,Model!$C39,G$90)</f>
        <v>1.8073628598673244E-7</v>
      </c>
      <c r="H39" s="10">
        <f t="shared" ca="1" si="23"/>
        <v>-0.47618896191703119</v>
      </c>
      <c r="I39" s="14">
        <f t="shared" si="24"/>
        <v>-0.67935271300325162</v>
      </c>
      <c r="J39" s="14">
        <f t="shared" ca="1" si="25"/>
        <v>0.16058294349773153</v>
      </c>
      <c r="K39" s="10">
        <f t="shared" ca="1" si="26"/>
        <v>7.0873124840056043</v>
      </c>
      <c r="L39" s="14">
        <f t="shared" si="27"/>
        <v>1.288192739284248</v>
      </c>
      <c r="M39" s="14">
        <f t="shared" ca="1" si="28"/>
        <v>1.0549468790544387</v>
      </c>
      <c r="N39" s="14">
        <f t="shared" ca="1" si="29"/>
        <v>9.430452102344292</v>
      </c>
      <c r="O39" s="14">
        <f t="shared" ca="1" si="14"/>
        <v>0.5284700673207956</v>
      </c>
      <c r="P39" s="11">
        <f t="shared" ca="1" si="15"/>
        <v>0.15735746112501481</v>
      </c>
      <c r="S39" s="26">
        <f t="shared" ca="1" si="30"/>
        <v>0.52099928653263849</v>
      </c>
      <c r="T39" s="18">
        <f ca="1">INDEX(Inputs!BU$4:BU$81,Model!$C39)</f>
        <v>0.52</v>
      </c>
      <c r="U39" s="10">
        <f>INDEX(Inputs!Z$4:Z$81,Model!$C39)</f>
        <v>14737067</v>
      </c>
      <c r="V39" s="14">
        <f>INDEX(Inputs!AA$4:AA$81,Model!$C39)</f>
        <v>8861849</v>
      </c>
      <c r="W39" s="11">
        <f>INDEX(Inputs!AB$4:AB$81,Model!$C39)</f>
        <v>5875218</v>
      </c>
      <c r="X39" s="10">
        <f t="shared" ca="1" si="31"/>
        <v>7678001.3925836915</v>
      </c>
      <c r="Y39" s="14">
        <f t="shared" ca="1" si="32"/>
        <v>7059065.6074163085</v>
      </c>
      <c r="Z39" s="14">
        <f t="shared" ca="1" si="33"/>
        <v>-1183847.6074163085</v>
      </c>
      <c r="AA39" s="11">
        <f t="shared" ca="1" si="34"/>
        <v>1183847.6074163085</v>
      </c>
      <c r="AB39" s="33">
        <f t="shared" ca="1" si="16"/>
        <v>-0.13358923261006914</v>
      </c>
      <c r="AC39" s="34">
        <f t="shared" ca="1" si="17"/>
        <v>0.20149849884996751</v>
      </c>
      <c r="AD39" s="26">
        <f t="shared" ca="1" si="18"/>
        <v>0.1308568385441769</v>
      </c>
      <c r="AE39" s="18">
        <f t="shared" ca="1" si="19"/>
        <v>0.1308568385441769</v>
      </c>
      <c r="AF39" s="10" t="str">
        <f t="shared" si="35"/>
        <v>South Wairarapa District</v>
      </c>
      <c r="AG39" s="42">
        <f t="shared" ca="1" si="20"/>
        <v>0.52</v>
      </c>
      <c r="AH39" s="18">
        <f t="shared" ca="1" si="21"/>
        <v>0.52</v>
      </c>
      <c r="AI39" s="1"/>
      <c r="AJ39" s="1">
        <f ca="1">MIN(V21,X21)</f>
        <v>6508587</v>
      </c>
      <c r="AK39" s="1">
        <f ca="1">X21-AJ39</f>
        <v>829945.54171767272</v>
      </c>
      <c r="AL39" s="1">
        <f ca="1">V21-AJ39</f>
        <v>0</v>
      </c>
      <c r="AM39" s="1"/>
      <c r="AN39" s="1"/>
      <c r="AO39" s="1"/>
    </row>
    <row r="40" spans="1:41" x14ac:dyDescent="0.25">
      <c r="A40" s="94">
        <f t="shared" ca="1" si="22"/>
        <v>38</v>
      </c>
      <c r="B40" s="95">
        <v>50</v>
      </c>
      <c r="C40">
        <f>MATCH(B40,Inputs!$A$4:$A$81,0)</f>
        <v>44</v>
      </c>
      <c r="D40" t="str">
        <f>INDEX(Inputs!$A$4:$AD$81,Model!$C40,D$90)</f>
        <v>Kaikoura District</v>
      </c>
      <c r="E40">
        <f ca="1">INDEX(Inputs!$A$4:$AD$81,Model!$C40,E$90)</f>
        <v>2940</v>
      </c>
      <c r="F40">
        <f>INDEX(Inputs!$A$4:$AD$81,Model!$C40,F$90)</f>
        <v>979.36400651465794</v>
      </c>
      <c r="G40">
        <f ca="1">INDEX(Inputs!$A$4:$AD$81,Model!$C40,G$90)</f>
        <v>1.3373915966281535E-7</v>
      </c>
      <c r="H40" s="10">
        <f t="shared" ca="1" si="23"/>
        <v>-0.52414473838081099</v>
      </c>
      <c r="I40" s="14">
        <f t="shared" si="24"/>
        <v>-0.55169765528722736</v>
      </c>
      <c r="J40" s="14">
        <f t="shared" ca="1" si="25"/>
        <v>-0.1316076535607647</v>
      </c>
      <c r="K40" s="10">
        <f t="shared" ca="1" si="26"/>
        <v>7.1352682604693847</v>
      </c>
      <c r="L40" s="14">
        <f t="shared" si="27"/>
        <v>1.4158477970002723</v>
      </c>
      <c r="M40" s="14">
        <f t="shared" ca="1" si="28"/>
        <v>0.76275628199594259</v>
      </c>
      <c r="N40" s="14">
        <f t="shared" ca="1" si="29"/>
        <v>9.3138723394655987</v>
      </c>
      <c r="O40" s="14">
        <f t="shared" ca="1" si="14"/>
        <v>0.52033081848296081</v>
      </c>
      <c r="P40" s="11">
        <f t="shared" ca="1" si="15"/>
        <v>4.0777698246321492E-2</v>
      </c>
      <c r="S40" s="26">
        <f t="shared" ca="1" si="30"/>
        <v>0.51285036110741788</v>
      </c>
      <c r="T40" s="18">
        <f ca="1">INDEX(Inputs!BU$4:BU$81,Model!$C40)</f>
        <v>0.51</v>
      </c>
      <c r="U40" s="10">
        <f>INDEX(Inputs!Z$4:Z$81,Model!$C40)</f>
        <v>3060355</v>
      </c>
      <c r="V40" s="14">
        <f>INDEX(Inputs!AA$4:AA$81,Model!$C40)</f>
        <v>1475636</v>
      </c>
      <c r="W40" s="11">
        <f>INDEX(Inputs!AB$4:AB$81,Model!$C40)</f>
        <v>1584719</v>
      </c>
      <c r="X40" s="10">
        <f t="shared" ca="1" si="31"/>
        <v>1569504.1668668918</v>
      </c>
      <c r="Y40" s="14">
        <f t="shared" ca="1" si="32"/>
        <v>1490850.8331331082</v>
      </c>
      <c r="Z40" s="14">
        <f t="shared" ca="1" si="33"/>
        <v>93868.166866891785</v>
      </c>
      <c r="AA40" s="11">
        <f t="shared" ca="1" si="34"/>
        <v>-93868.166866891785</v>
      </c>
      <c r="AB40" s="33">
        <f t="shared" ca="1" si="16"/>
        <v>6.3612006529314674E-2</v>
      </c>
      <c r="AC40" s="34">
        <f t="shared" ca="1" si="17"/>
        <v>-5.9233319513990676E-2</v>
      </c>
      <c r="AD40" s="26">
        <f t="shared" ca="1" si="18"/>
        <v>-1.0375737112774522E-2</v>
      </c>
      <c r="AE40" s="18">
        <f t="shared" ca="1" si="19"/>
        <v>-1.0375737112774522E-2</v>
      </c>
      <c r="AF40" s="10" t="str">
        <f t="shared" si="35"/>
        <v>Kaikoura District</v>
      </c>
      <c r="AG40" s="42">
        <f t="shared" ca="1" si="20"/>
        <v>0.51</v>
      </c>
      <c r="AH40" s="18">
        <f t="shared" ca="1" si="21"/>
        <v>0.51</v>
      </c>
      <c r="AI40" s="1"/>
      <c r="AJ40" s="1"/>
      <c r="AK40" s="1"/>
      <c r="AL40" s="1"/>
      <c r="AM40" s="1">
        <f ca="1">MIN(W21,Y21)</f>
        <v>5066632.4582823273</v>
      </c>
      <c r="AN40" s="1">
        <f ca="1">Y21-AM40</f>
        <v>0</v>
      </c>
      <c r="AO40" s="1">
        <f ca="1">W21-AM40</f>
        <v>829945.54171767272</v>
      </c>
    </row>
    <row r="41" spans="1:41" x14ac:dyDescent="0.25">
      <c r="A41" s="94">
        <f t="shared" ca="1" si="22"/>
        <v>39</v>
      </c>
      <c r="B41" s="95">
        <v>18</v>
      </c>
      <c r="C41">
        <f>MATCH(B41,Inputs!$A$4:$A$81,0)</f>
        <v>12</v>
      </c>
      <c r="D41" t="str">
        <f>INDEX(Inputs!$A$4:$AD$81,Model!$C41,D$90)</f>
        <v>Waikato District</v>
      </c>
      <c r="E41">
        <f ca="1">INDEX(Inputs!$A$4:$AD$81,Model!$C41,E$90)</f>
        <v>30576</v>
      </c>
      <c r="F41">
        <f>INDEX(Inputs!$A$4:$AD$81,Model!$C41,F$90)</f>
        <v>1004.4058848299821</v>
      </c>
      <c r="G41">
        <f ca="1">INDEX(Inputs!$A$4:$AD$81,Model!$C41,G$90)</f>
        <v>9.604868117394295E-8</v>
      </c>
      <c r="H41" s="10">
        <f t="shared" ca="1" si="23"/>
        <v>-0.15436074330463415</v>
      </c>
      <c r="I41" s="14">
        <f t="shared" si="24"/>
        <v>4.6292044940373027E-2</v>
      </c>
      <c r="J41" s="14">
        <f t="shared" ca="1" si="25"/>
        <v>-0.36593694716864988</v>
      </c>
      <c r="K41" s="10">
        <f t="shared" ca="1" si="26"/>
        <v>6.7654842653932077</v>
      </c>
      <c r="L41" s="14">
        <f t="shared" si="27"/>
        <v>2.0138374972278728</v>
      </c>
      <c r="M41" s="14">
        <f t="shared" ca="1" si="28"/>
        <v>0.52842698838805735</v>
      </c>
      <c r="N41" s="14">
        <f t="shared" ca="1" si="29"/>
        <v>9.3077487510091377</v>
      </c>
      <c r="O41" s="14">
        <f t="shared" ca="1" si="14"/>
        <v>0.51990328793222973</v>
      </c>
      <c r="P41" s="11">
        <f t="shared" ca="1" si="15"/>
        <v>3.4654109789860499E-2</v>
      </c>
      <c r="S41" s="26">
        <f t="shared" ca="1" si="30"/>
        <v>0.51242232227431128</v>
      </c>
      <c r="T41" s="18">
        <f ca="1">INDEX(Inputs!BU$4:BU$81,Model!$C41)</f>
        <v>0.52</v>
      </c>
      <c r="U41" s="10">
        <f>INDEX(Inputs!Z$4:Z$81,Model!$C41)</f>
        <v>113275221.47</v>
      </c>
      <c r="V41" s="14">
        <f>INDEX(Inputs!AA$4:AA$81,Model!$C41)</f>
        <v>60308690.859999999</v>
      </c>
      <c r="W41" s="11">
        <f>INDEX(Inputs!AB$4:AB$81,Model!$C41)</f>
        <v>52966530.609999999</v>
      </c>
      <c r="X41" s="10">
        <f t="shared" ca="1" si="31"/>
        <v>58044752.041794322</v>
      </c>
      <c r="Y41" s="14">
        <f t="shared" ca="1" si="32"/>
        <v>55230469.428205676</v>
      </c>
      <c r="Z41" s="14">
        <f t="shared" ca="1" si="33"/>
        <v>-2263938.818205677</v>
      </c>
      <c r="AA41" s="11">
        <f t="shared" ca="1" si="34"/>
        <v>2263938.818205677</v>
      </c>
      <c r="AB41" s="33">
        <f t="shared" ca="1" si="16"/>
        <v>-3.7539180272726569E-2</v>
      </c>
      <c r="AC41" s="34">
        <f t="shared" ca="1" si="17"/>
        <v>4.274281875993307E-2</v>
      </c>
      <c r="AD41" s="26">
        <f t="shared" ca="1" si="18"/>
        <v>0.25024494246720713</v>
      </c>
      <c r="AE41" s="18">
        <f t="shared" ca="1" si="19"/>
        <v>0.25024494246720713</v>
      </c>
      <c r="AF41" s="10" t="str">
        <f t="shared" si="35"/>
        <v>Waikato District</v>
      </c>
      <c r="AG41" s="42">
        <f t="shared" ca="1" si="20"/>
        <v>0.52</v>
      </c>
      <c r="AH41" s="18">
        <f t="shared" ca="1" si="21"/>
        <v>0.51</v>
      </c>
      <c r="AI41" s="1"/>
      <c r="AJ41" s="1">
        <f ca="1">MIN(V22,X22)</f>
        <v>8505445.9117701501</v>
      </c>
      <c r="AK41" s="1">
        <f ca="1">X22-AJ41</f>
        <v>0</v>
      </c>
      <c r="AL41" s="1">
        <f ca="1">V22-AJ41</f>
        <v>917015.08822984993</v>
      </c>
      <c r="AM41" s="1"/>
      <c r="AN41" s="1"/>
      <c r="AO41" s="1"/>
    </row>
    <row r="42" spans="1:41" x14ac:dyDescent="0.25">
      <c r="A42" s="94">
        <f t="shared" ca="1" si="22"/>
        <v>40</v>
      </c>
      <c r="B42" s="95">
        <v>86</v>
      </c>
      <c r="C42">
        <f>MATCH(B42,Inputs!$A$4:$A$81,0)</f>
        <v>71</v>
      </c>
      <c r="D42" t="str">
        <f>INDEX(Inputs!$A$4:$AD$81,Model!$C42,D$90)</f>
        <v>Hawkes Bay Regional</v>
      </c>
      <c r="E42">
        <f ca="1">INDEX(Inputs!$A$4:$AD$81,Model!$C42,E$90)</f>
        <v>69883</v>
      </c>
      <c r="F42">
        <f>INDEX(Inputs!$A$4:$AD$81,Model!$C42,F$90)</f>
        <v>1019.1199727209054</v>
      </c>
      <c r="G42">
        <f ca="1">INDEX(Inputs!$A$4:$AD$81,Model!$C42,G$90)</f>
        <v>1.1298129441551923E-7</v>
      </c>
      <c r="H42" s="10">
        <f t="shared" ca="1" si="23"/>
        <v>0.3715872771925175</v>
      </c>
      <c r="I42" s="14">
        <f t="shared" si="24"/>
        <v>0.39765838001402187</v>
      </c>
      <c r="J42" s="14">
        <f t="shared" ca="1" si="25"/>
        <v>-0.26066348132486833</v>
      </c>
      <c r="K42" s="10">
        <f t="shared" ca="1" si="26"/>
        <v>6.2395362448960556</v>
      </c>
      <c r="L42" s="14">
        <f t="shared" si="27"/>
        <v>2.3652038323015212</v>
      </c>
      <c r="M42" s="14">
        <f t="shared" ca="1" si="28"/>
        <v>0.63370045423183896</v>
      </c>
      <c r="N42" s="14">
        <f t="shared" ca="1" si="29"/>
        <v>9.2384405314294149</v>
      </c>
      <c r="O42" s="14">
        <f t="shared" ca="1" si="14"/>
        <v>0.51506439624350964</v>
      </c>
      <c r="P42" s="11">
        <f t="shared" ca="1" si="15"/>
        <v>-3.4654109789862275E-2</v>
      </c>
      <c r="S42" s="26">
        <f t="shared" ca="1" si="30"/>
        <v>0.51</v>
      </c>
      <c r="T42" s="18">
        <f ca="1">INDEX(Inputs!BU$4:BU$81,Model!$C42)</f>
        <v>0.51</v>
      </c>
      <c r="U42" s="10">
        <f>INDEX(Inputs!Z$4:Z$81,Model!$C42)</f>
        <v>15268397</v>
      </c>
      <c r="V42" s="14">
        <f>INDEX(Inputs!AA$4:AA$81,Model!$C42)</f>
        <v>8792048</v>
      </c>
      <c r="W42" s="11">
        <f>INDEX(Inputs!AB$4:AB$81,Model!$C42)</f>
        <v>6476349</v>
      </c>
      <c r="X42" s="10">
        <f t="shared" ca="1" si="31"/>
        <v>7786882.4699999997</v>
      </c>
      <c r="Y42" s="14">
        <f t="shared" ca="1" si="32"/>
        <v>7481514.5300000003</v>
      </c>
      <c r="Z42" s="14">
        <f t="shared" ca="1" si="33"/>
        <v>-1005165.5300000003</v>
      </c>
      <c r="AA42" s="11">
        <f t="shared" ca="1" si="34"/>
        <v>1005165.5300000003</v>
      </c>
      <c r="AB42" s="33">
        <f t="shared" ca="1" si="16"/>
        <v>-0.1143266654140196</v>
      </c>
      <c r="AC42" s="34">
        <f t="shared" ca="1" si="17"/>
        <v>0.15520558419566338</v>
      </c>
      <c r="AD42" s="26">
        <f t="shared" ca="1" si="18"/>
        <v>0.11110617840115937</v>
      </c>
      <c r="AE42" s="18">
        <f t="shared" ca="1" si="19"/>
        <v>0.11110617840115937</v>
      </c>
      <c r="AF42" s="10" t="str">
        <f t="shared" si="35"/>
        <v>Hawkes Bay Regional</v>
      </c>
      <c r="AG42" s="42">
        <f t="shared" ca="1" si="20"/>
        <v>0.51</v>
      </c>
      <c r="AH42" s="18">
        <f t="shared" ca="1" si="21"/>
        <v>0.51</v>
      </c>
      <c r="AI42" s="1"/>
      <c r="AJ42" s="1"/>
      <c r="AK42" s="1"/>
      <c r="AL42" s="1"/>
      <c r="AM42" s="1">
        <f ca="1">MIN(W22,Y22)</f>
        <v>4958407</v>
      </c>
      <c r="AN42" s="1">
        <f ca="1">Y22-AM42</f>
        <v>917015.08822984993</v>
      </c>
      <c r="AO42" s="1">
        <f ca="1">W22-AM42</f>
        <v>0</v>
      </c>
    </row>
    <row r="43" spans="1:41" x14ac:dyDescent="0.25">
      <c r="A43" s="94">
        <f t="shared" ca="1" si="22"/>
        <v>41</v>
      </c>
      <c r="B43" s="95">
        <v>30</v>
      </c>
      <c r="C43">
        <f>MATCH(B43,Inputs!$A$4:$A$81,0)</f>
        <v>24</v>
      </c>
      <c r="D43" t="str">
        <f>INDEX(Inputs!$A$4:$AD$81,Model!$C43,D$90)</f>
        <v>Napier City</v>
      </c>
      <c r="E43">
        <f ca="1">INDEX(Inputs!$A$4:$AD$81,Model!$C43,E$90)</f>
        <v>25211</v>
      </c>
      <c r="F43">
        <f>INDEX(Inputs!$A$4:$AD$81,Model!$C43,F$90)</f>
        <v>1014.3476475989845</v>
      </c>
      <c r="G43">
        <f ca="1">INDEX(Inputs!$A$4:$AD$81,Model!$C43,G$90)</f>
        <v>2.9502620047059126E-8</v>
      </c>
      <c r="H43" s="10">
        <f t="shared" ca="1" si="23"/>
        <v>-0.22614722230245179</v>
      </c>
      <c r="I43" s="14">
        <f t="shared" si="24"/>
        <v>0.28369722929236307</v>
      </c>
      <c r="J43" s="14">
        <f t="shared" ca="1" si="25"/>
        <v>-0.77966720800504807</v>
      </c>
      <c r="K43" s="10">
        <f t="shared" ca="1" si="26"/>
        <v>6.8372707443910254</v>
      </c>
      <c r="L43" s="14">
        <f t="shared" si="27"/>
        <v>2.2512426815798627</v>
      </c>
      <c r="M43" s="14">
        <f t="shared" ca="1" si="28"/>
        <v>0.11469672755165916</v>
      </c>
      <c r="N43" s="14">
        <f t="shared" ca="1" si="29"/>
        <v>9.2032101535225461</v>
      </c>
      <c r="O43" s="14">
        <f t="shared" ca="1" si="14"/>
        <v>0.51260471709033328</v>
      </c>
      <c r="P43" s="11">
        <f t="shared" ca="1" si="15"/>
        <v>-6.9884487696731057E-2</v>
      </c>
      <c r="S43" s="26">
        <f t="shared" ca="1" si="30"/>
        <v>0.51</v>
      </c>
      <c r="T43" s="18">
        <f ca="1">INDEX(Inputs!BU$4:BU$81,Model!$C43)</f>
        <v>0.51</v>
      </c>
      <c r="U43" s="10">
        <f>INDEX(Inputs!Z$4:Z$81,Model!$C43)</f>
        <v>26172115</v>
      </c>
      <c r="V43" s="14">
        <f>INDEX(Inputs!AA$4:AA$81,Model!$C43)</f>
        <v>12829703</v>
      </c>
      <c r="W43" s="11">
        <f>INDEX(Inputs!AB$4:AB$81,Model!$C43)</f>
        <v>13342412</v>
      </c>
      <c r="X43" s="10">
        <f t="shared" ca="1" si="31"/>
        <v>13347778.65</v>
      </c>
      <c r="Y43" s="14">
        <f t="shared" ca="1" si="32"/>
        <v>12824336.35</v>
      </c>
      <c r="Z43" s="14">
        <f t="shared" ca="1" si="33"/>
        <v>518075.65000000037</v>
      </c>
      <c r="AA43" s="11">
        <f t="shared" ca="1" si="34"/>
        <v>-518075.65000000037</v>
      </c>
      <c r="AB43" s="33">
        <f t="shared" ca="1" si="16"/>
        <v>4.0380954259034707E-2</v>
      </c>
      <c r="AC43" s="34">
        <f t="shared" ca="1" si="17"/>
        <v>-3.8829234923940317E-2</v>
      </c>
      <c r="AD43" s="26">
        <f t="shared" ca="1" si="18"/>
        <v>-5.7265598427551155E-2</v>
      </c>
      <c r="AE43" s="18">
        <f t="shared" ca="1" si="19"/>
        <v>-5.7265598427551155E-2</v>
      </c>
      <c r="AF43" s="10" t="str">
        <f t="shared" si="35"/>
        <v>Napier City</v>
      </c>
      <c r="AG43" s="42">
        <f t="shared" ca="1" si="20"/>
        <v>0.51</v>
      </c>
      <c r="AH43" s="18">
        <f t="shared" ca="1" si="21"/>
        <v>0.51</v>
      </c>
      <c r="AI43" s="1"/>
      <c r="AJ43" s="1">
        <f ca="1">MIN(V23,X23)</f>
        <v>32224498.740367409</v>
      </c>
      <c r="AK43" s="1">
        <f ca="1">X23-AJ43</f>
        <v>0</v>
      </c>
      <c r="AL43" s="1">
        <f ca="1">V23-AJ43</f>
        <v>1270847.2596325912</v>
      </c>
      <c r="AM43" s="1"/>
      <c r="AN43" s="1"/>
      <c r="AO43" s="1"/>
    </row>
    <row r="44" spans="1:41" x14ac:dyDescent="0.25">
      <c r="A44" s="94">
        <f t="shared" ca="1" si="22"/>
        <v>42</v>
      </c>
      <c r="B44" s="95">
        <v>16</v>
      </c>
      <c r="C44">
        <f>MATCH(B44,Inputs!$A$4:$A$81,0)</f>
        <v>10</v>
      </c>
      <c r="D44" t="str">
        <f>INDEX(Inputs!$A$4:$AD$81,Model!$C44,D$90)</f>
        <v>Taupo District</v>
      </c>
      <c r="E44">
        <f ca="1">INDEX(Inputs!$A$4:$AD$81,Model!$C44,E$90)</f>
        <v>22349</v>
      </c>
      <c r="F44">
        <f>INDEX(Inputs!$A$4:$AD$81,Model!$C44,F$90)</f>
        <v>1004.3522252160178</v>
      </c>
      <c r="G44">
        <f ca="1">INDEX(Inputs!$A$4:$AD$81,Model!$C44,G$90)</f>
        <v>4.9748152997716342E-8</v>
      </c>
      <c r="H44" s="10">
        <f t="shared" ca="1" si="23"/>
        <v>-0.26444226477994554</v>
      </c>
      <c r="I44" s="14">
        <f t="shared" si="24"/>
        <v>4.5010675545281716E-2</v>
      </c>
      <c r="J44" s="14">
        <f t="shared" ca="1" si="25"/>
        <v>-0.65379665328541758</v>
      </c>
      <c r="K44" s="10">
        <f t="shared" ca="1" si="26"/>
        <v>6.8755657868685187</v>
      </c>
      <c r="L44" s="14">
        <f t="shared" si="27"/>
        <v>2.0125561278327813</v>
      </c>
      <c r="M44" s="14">
        <f t="shared" ca="1" si="28"/>
        <v>0.24056728227128965</v>
      </c>
      <c r="N44" s="14">
        <f t="shared" ca="1" si="29"/>
        <v>9.128689196972589</v>
      </c>
      <c r="O44" s="14">
        <f t="shared" ca="1" si="14"/>
        <v>0.50740188776544681</v>
      </c>
      <c r="P44" s="11">
        <f t="shared" ca="1" si="15"/>
        <v>-0.14440544424668822</v>
      </c>
      <c r="S44" s="26">
        <f t="shared" ca="1" si="30"/>
        <v>0.51</v>
      </c>
      <c r="T44" s="18">
        <f ca="1">INDEX(Inputs!BU$4:BU$81,Model!$C44)</f>
        <v>0.51</v>
      </c>
      <c r="U44" s="10">
        <f>INDEX(Inputs!Z$4:Z$81,Model!$C44)</f>
        <v>102026193</v>
      </c>
      <c r="V44" s="14">
        <f>INDEX(Inputs!AA$4:AA$81,Model!$C44)</f>
        <v>52532931.690000005</v>
      </c>
      <c r="W44" s="11">
        <f>INDEX(Inputs!AB$4:AB$81,Model!$C44)</f>
        <v>49493261.309999995</v>
      </c>
      <c r="X44" s="10">
        <f t="shared" ca="1" si="31"/>
        <v>52033358.43</v>
      </c>
      <c r="Y44" s="14">
        <f t="shared" ca="1" si="32"/>
        <v>49992834.57</v>
      </c>
      <c r="Z44" s="14">
        <f t="shared" ca="1" si="33"/>
        <v>-499573.26000000536</v>
      </c>
      <c r="AA44" s="11">
        <f t="shared" ca="1" si="34"/>
        <v>499573.26000000536</v>
      </c>
      <c r="AB44" s="33">
        <f t="shared" ca="1" si="16"/>
        <v>-9.5097159805970326E-3</v>
      </c>
      <c r="AC44" s="34">
        <f t="shared" ca="1" si="17"/>
        <v>1.0093763206892729E-2</v>
      </c>
      <c r="AD44" s="26">
        <f t="shared" ca="1" si="18"/>
        <v>5.5220432947008589E-2</v>
      </c>
      <c r="AE44" s="18">
        <f t="shared" ca="1" si="19"/>
        <v>5.5220432947008589E-2</v>
      </c>
      <c r="AF44" s="10" t="str">
        <f t="shared" si="35"/>
        <v>Taupo District</v>
      </c>
      <c r="AG44" s="42">
        <f t="shared" ca="1" si="20"/>
        <v>0.51</v>
      </c>
      <c r="AH44" s="18">
        <f t="shared" ca="1" si="21"/>
        <v>0.51</v>
      </c>
      <c r="AI44" s="1"/>
      <c r="AJ44" s="1"/>
      <c r="AK44" s="1"/>
      <c r="AL44" s="1"/>
      <c r="AM44" s="1">
        <f ca="1">MIN(W23,Y23)</f>
        <v>21061204</v>
      </c>
      <c r="AN44" s="1">
        <f ca="1">Y23-AM44</f>
        <v>1270847.2596325912</v>
      </c>
      <c r="AO44" s="1">
        <f ca="1">W23-AM44</f>
        <v>0</v>
      </c>
    </row>
    <row r="45" spans="1:41" x14ac:dyDescent="0.25">
      <c r="A45" s="94">
        <f t="shared" ca="1" si="22"/>
        <v>43</v>
      </c>
      <c r="B45" s="95">
        <v>17</v>
      </c>
      <c r="C45">
        <f>MATCH(B45,Inputs!$A$4:$A$81,0)</f>
        <v>11</v>
      </c>
      <c r="D45" t="str">
        <f>INDEX(Inputs!$A$4:$AD$81,Model!$C45,D$90)</f>
        <v>Thames-Coromandel District</v>
      </c>
      <c r="E45">
        <f ca="1">INDEX(Inputs!$A$4:$AD$81,Model!$C45,E$90)</f>
        <v>27213</v>
      </c>
      <c r="F45">
        <f>INDEX(Inputs!$A$4:$AD$81,Model!$C45,F$90)</f>
        <v>1009.5400444288554</v>
      </c>
      <c r="G45">
        <f ca="1">INDEX(Inputs!$A$4:$AD$81,Model!$C45,G$90)</f>
        <v>3.925478515578406E-8</v>
      </c>
      <c r="H45" s="10">
        <f t="shared" ca="1" si="23"/>
        <v>-0.19935942529338729</v>
      </c>
      <c r="I45" s="14">
        <f t="shared" si="24"/>
        <v>0.16889365336573167</v>
      </c>
      <c r="J45" s="14">
        <f t="shared" ca="1" si="25"/>
        <v>-0.71903603396066296</v>
      </c>
      <c r="K45" s="10">
        <f t="shared" ca="1" si="26"/>
        <v>6.8104829473819608</v>
      </c>
      <c r="L45" s="14">
        <f t="shared" si="27"/>
        <v>2.1364391056532313</v>
      </c>
      <c r="M45" s="14">
        <f t="shared" ca="1" si="28"/>
        <v>0.17532790159604428</v>
      </c>
      <c r="N45" s="14">
        <f t="shared" ca="1" si="29"/>
        <v>9.1222499546312363</v>
      </c>
      <c r="O45" s="14">
        <f t="shared" ca="1" si="14"/>
        <v>0.50695231920869888</v>
      </c>
      <c r="P45" s="11">
        <f t="shared" ca="1" si="15"/>
        <v>-0.15084468658804084</v>
      </c>
      <c r="S45" s="26">
        <f t="shared" ca="1" si="30"/>
        <v>0.51</v>
      </c>
      <c r="T45" s="18">
        <f ca="1">INDEX(Inputs!BU$4:BU$81,Model!$C45)</f>
        <v>0.51</v>
      </c>
      <c r="U45" s="10">
        <f>INDEX(Inputs!Z$4:Z$81,Model!$C45)</f>
        <v>42838186</v>
      </c>
      <c r="V45" s="14">
        <f>INDEX(Inputs!AA$4:AA$81,Model!$C45)</f>
        <v>19004903</v>
      </c>
      <c r="W45" s="11">
        <f>INDEX(Inputs!AB$4:AB$81,Model!$C45)</f>
        <v>23833283</v>
      </c>
      <c r="X45" s="10">
        <f t="shared" ca="1" si="31"/>
        <v>21847474.859999999</v>
      </c>
      <c r="Y45" s="14">
        <f t="shared" ca="1" si="32"/>
        <v>20990711.140000001</v>
      </c>
      <c r="Z45" s="14">
        <f t="shared" ca="1" si="33"/>
        <v>2842571.8599999994</v>
      </c>
      <c r="AA45" s="11">
        <f t="shared" ca="1" si="34"/>
        <v>-2842571.8599999994</v>
      </c>
      <c r="AB45" s="33">
        <f t="shared" ca="1" si="16"/>
        <v>0.14957044821538945</v>
      </c>
      <c r="AC45" s="34">
        <f t="shared" ca="1" si="17"/>
        <v>-0.1192690012534152</v>
      </c>
      <c r="AD45" s="26">
        <f t="shared" ca="1" si="18"/>
        <v>-0.31420426464014861</v>
      </c>
      <c r="AE45" s="18">
        <f t="shared" ca="1" si="19"/>
        <v>-0.31420426464014861</v>
      </c>
      <c r="AF45" s="10" t="str">
        <f t="shared" si="35"/>
        <v>Thames-Coromandel District</v>
      </c>
      <c r="AG45" s="42">
        <f t="shared" ca="1" si="20"/>
        <v>0.51</v>
      </c>
      <c r="AH45" s="18">
        <f t="shared" ca="1" si="21"/>
        <v>0.51</v>
      </c>
      <c r="AI45" s="1"/>
      <c r="AJ45" s="1">
        <f ca="1">MIN(V24,X24)</f>
        <v>7924599</v>
      </c>
      <c r="AK45" s="1">
        <f ca="1">X24-AJ45</f>
        <v>1869230.457596235</v>
      </c>
      <c r="AL45" s="1">
        <f ca="1">V24-AJ45</f>
        <v>0</v>
      </c>
      <c r="AM45" s="1"/>
      <c r="AN45" s="1"/>
      <c r="AO45" s="1"/>
    </row>
    <row r="46" spans="1:41" x14ac:dyDescent="0.25">
      <c r="A46" s="94">
        <f t="shared" ca="1" si="22"/>
        <v>44</v>
      </c>
      <c r="B46" s="95">
        <v>72</v>
      </c>
      <c r="C46">
        <f>MATCH(B46,Inputs!$A$4:$A$81,0)</f>
        <v>65</v>
      </c>
      <c r="D46" t="str">
        <f>INDEX(Inputs!$A$4:$AD$81,Model!$C46,D$90)</f>
        <v>Invercargill City</v>
      </c>
      <c r="E46">
        <f ca="1">INDEX(Inputs!$A$4:$AD$81,Model!$C46,E$90)</f>
        <v>25185</v>
      </c>
      <c r="F46">
        <f>INDEX(Inputs!$A$4:$AD$81,Model!$C46,F$90)</f>
        <v>998.31301472798316</v>
      </c>
      <c r="G46">
        <f ca="1">INDEX(Inputs!$A$4:$AD$81,Model!$C46,G$90)</f>
        <v>7.714916342833901E-8</v>
      </c>
      <c r="H46" s="10">
        <f t="shared" ca="1" si="23"/>
        <v>-0.22649511577010198</v>
      </c>
      <c r="I46" s="14">
        <f t="shared" si="24"/>
        <v>-9.9203173906309228E-2</v>
      </c>
      <c r="J46" s="14">
        <f t="shared" ca="1" si="25"/>
        <v>-0.48343905434313367</v>
      </c>
      <c r="K46" s="10">
        <f t="shared" ca="1" si="26"/>
        <v>6.8376186378586752</v>
      </c>
      <c r="L46" s="14">
        <f t="shared" si="27"/>
        <v>1.8683422783811903</v>
      </c>
      <c r="M46" s="14">
        <f t="shared" ca="1" si="28"/>
        <v>0.41092488121357357</v>
      </c>
      <c r="N46" s="14">
        <f t="shared" ca="1" si="29"/>
        <v>9.1168857974534383</v>
      </c>
      <c r="O46" s="14">
        <f t="shared" ca="1" si="14"/>
        <v>0.50657780986850764</v>
      </c>
      <c r="P46" s="11">
        <f t="shared" ca="1" si="15"/>
        <v>-0.15620884376583888</v>
      </c>
      <c r="S46" s="26">
        <f t="shared" ca="1" si="30"/>
        <v>0.51</v>
      </c>
      <c r="T46" s="18">
        <f ca="1">INDEX(Inputs!BU$4:BU$81,Model!$C46)</f>
        <v>0.51</v>
      </c>
      <c r="U46" s="10">
        <f>INDEX(Inputs!Z$4:Z$81,Model!$C46)</f>
        <v>50010389</v>
      </c>
      <c r="V46" s="14">
        <f>INDEX(Inputs!AA$4:AA$81,Model!$C46)</f>
        <v>31787502</v>
      </c>
      <c r="W46" s="11">
        <f>INDEX(Inputs!AB$4:AB$81,Model!$C46)</f>
        <v>18222887</v>
      </c>
      <c r="X46" s="10">
        <f t="shared" ca="1" si="31"/>
        <v>25505298.390000001</v>
      </c>
      <c r="Y46" s="14">
        <f t="shared" ca="1" si="32"/>
        <v>24505090.609999999</v>
      </c>
      <c r="Z46" s="14">
        <f t="shared" ca="1" si="33"/>
        <v>-6282203.6099999994</v>
      </c>
      <c r="AA46" s="11">
        <f t="shared" ca="1" si="34"/>
        <v>6282203.6099999994</v>
      </c>
      <c r="AB46" s="33">
        <f t="shared" ca="1" si="16"/>
        <v>-0.19763124544986263</v>
      </c>
      <c r="AC46" s="34">
        <f t="shared" ca="1" si="17"/>
        <v>0.34474249936357504</v>
      </c>
      <c r="AD46" s="26">
        <f t="shared" ca="1" si="18"/>
        <v>0.69440466690602409</v>
      </c>
      <c r="AE46" s="18">
        <f t="shared" ca="1" si="19"/>
        <v>0.69440466690602409</v>
      </c>
      <c r="AF46" s="10" t="str">
        <f t="shared" si="35"/>
        <v>Invercargill City</v>
      </c>
      <c r="AG46" s="42">
        <f t="shared" ca="1" si="20"/>
        <v>0.51</v>
      </c>
      <c r="AH46" s="18">
        <f t="shared" ca="1" si="21"/>
        <v>0.51</v>
      </c>
      <c r="AI46" s="1"/>
      <c r="AJ46" s="1"/>
      <c r="AK46" s="1"/>
      <c r="AL46" s="1"/>
      <c r="AM46" s="1">
        <f ca="1">MIN(W24,Y24)</f>
        <v>6832668.542403765</v>
      </c>
      <c r="AN46" s="1">
        <f ca="1">Y24-AM46</f>
        <v>0</v>
      </c>
      <c r="AO46" s="1">
        <f ca="1">W24-AM46</f>
        <v>1869230.457596235</v>
      </c>
    </row>
    <row r="47" spans="1:41" x14ac:dyDescent="0.25">
      <c r="A47" s="94">
        <f t="shared" ca="1" si="22"/>
        <v>45</v>
      </c>
      <c r="B47" s="95">
        <v>58</v>
      </c>
      <c r="C47">
        <f>MATCH(B47,Inputs!$A$4:$A$81,0)</f>
        <v>51</v>
      </c>
      <c r="D47" t="str">
        <f>INDEX(Inputs!$A$4:$AD$81,Model!$C47,D$90)</f>
        <v>Mackenzie District</v>
      </c>
      <c r="E47">
        <f ca="1">INDEX(Inputs!$A$4:$AD$81,Model!$C47,E$90)</f>
        <v>4422</v>
      </c>
      <c r="F47">
        <f>INDEX(Inputs!$A$4:$AD$81,Model!$C47,F$90)</f>
        <v>954.9023255813953</v>
      </c>
      <c r="G47">
        <f ca="1">INDEX(Inputs!$A$4:$AD$81,Model!$C47,G$90)</f>
        <v>1.9655630186119503E-7</v>
      </c>
      <c r="H47" s="10">
        <f t="shared" ca="1" si="23"/>
        <v>-0.50431481072475026</v>
      </c>
      <c r="I47" s="14">
        <f t="shared" si="24"/>
        <v>-1.1358324819225576</v>
      </c>
      <c r="J47" s="14">
        <f t="shared" ca="1" si="25"/>
        <v>0.25893916749268076</v>
      </c>
      <c r="K47" s="10">
        <f t="shared" ca="1" si="26"/>
        <v>7.1154383328133237</v>
      </c>
      <c r="L47" s="14">
        <f t="shared" si="27"/>
        <v>0.83171297036494196</v>
      </c>
      <c r="M47" s="14">
        <f t="shared" ca="1" si="28"/>
        <v>1.1533031030493879</v>
      </c>
      <c r="N47" s="14">
        <f t="shared" ca="1" si="29"/>
        <v>9.1004544062276533</v>
      </c>
      <c r="O47" s="14">
        <f t="shared" ca="1" si="14"/>
        <v>0.50543061949312795</v>
      </c>
      <c r="P47" s="11">
        <f t="shared" ca="1" si="15"/>
        <v>-0.17264023499162384</v>
      </c>
      <c r="S47" s="26">
        <f t="shared" ca="1" si="30"/>
        <v>0.51</v>
      </c>
      <c r="T47" s="18">
        <f ca="1">INDEX(Inputs!BU$4:BU$81,Model!$C47)</f>
        <v>0.51</v>
      </c>
      <c r="U47" s="10">
        <f>INDEX(Inputs!Z$4:Z$81,Model!$C47)</f>
        <v>10119053</v>
      </c>
      <c r="V47" s="14">
        <f>INDEX(Inputs!AA$4:AA$81,Model!$C47)</f>
        <v>5520135</v>
      </c>
      <c r="W47" s="11">
        <f>INDEX(Inputs!AB$4:AB$81,Model!$C47)</f>
        <v>4598918</v>
      </c>
      <c r="X47" s="10">
        <f t="shared" ca="1" si="31"/>
        <v>5160717.03</v>
      </c>
      <c r="Y47" s="14">
        <f t="shared" ca="1" si="32"/>
        <v>4958335.97</v>
      </c>
      <c r="Z47" s="14">
        <f t="shared" ca="1" si="33"/>
        <v>-359417.96999999974</v>
      </c>
      <c r="AA47" s="11">
        <f t="shared" ca="1" si="34"/>
        <v>359417.96999999974</v>
      </c>
      <c r="AB47" s="33">
        <f t="shared" ca="1" si="16"/>
        <v>-6.5110358714053143E-2</v>
      </c>
      <c r="AC47" s="34">
        <f t="shared" ca="1" si="17"/>
        <v>7.8152724184253716E-2</v>
      </c>
      <c r="AD47" s="26">
        <f t="shared" ca="1" si="18"/>
        <v>3.9728339167582186E-2</v>
      </c>
      <c r="AE47" s="18">
        <f t="shared" ca="1" si="19"/>
        <v>3.9728339167582186E-2</v>
      </c>
      <c r="AF47" s="10" t="str">
        <f t="shared" si="35"/>
        <v>Mackenzie District</v>
      </c>
      <c r="AG47" s="42">
        <f t="shared" ca="1" si="20"/>
        <v>0.51</v>
      </c>
      <c r="AH47" s="18">
        <f t="shared" ca="1" si="21"/>
        <v>0.51</v>
      </c>
      <c r="AI47" s="1"/>
      <c r="AJ47" s="1">
        <f ca="1">MIN(V25,X25)</f>
        <v>11962446.226476843</v>
      </c>
      <c r="AK47" s="1">
        <f ca="1">X25-AJ47</f>
        <v>0</v>
      </c>
      <c r="AL47" s="1">
        <f ca="1">V25-AJ47</f>
        <v>1059283.7735231575</v>
      </c>
      <c r="AM47" s="1"/>
      <c r="AN47" s="1"/>
      <c r="AO47" s="1"/>
    </row>
    <row r="48" spans="1:41" x14ac:dyDescent="0.25">
      <c r="A48" s="94">
        <f t="shared" ca="1" si="22"/>
        <v>46</v>
      </c>
      <c r="B48" s="95">
        <v>94</v>
      </c>
      <c r="C48">
        <f>MATCH(B48,Inputs!$A$4:$A$81,0)</f>
        <v>78</v>
      </c>
      <c r="D48" t="str">
        <f>INDEX(Inputs!$A$4:$AD$81,Model!$C48,D$90)</f>
        <v>Southland Regional</v>
      </c>
      <c r="E48">
        <f ca="1">INDEX(Inputs!$A$4:$AD$81,Model!$C48,E$90)</f>
        <v>50591</v>
      </c>
      <c r="F48">
        <f>INDEX(Inputs!$A$4:$AD$81,Model!$C48,F$90)</f>
        <v>977.01255409825228</v>
      </c>
      <c r="G48">
        <f ca="1">INDEX(Inputs!$A$4:$AD$81,Model!$C48,G$90)</f>
        <v>2.0664550232296541E-7</v>
      </c>
      <c r="H48" s="10">
        <f t="shared" ca="1" si="23"/>
        <v>0.11345032419607794</v>
      </c>
      <c r="I48" s="14">
        <f t="shared" si="24"/>
        <v>-0.60784936674752188</v>
      </c>
      <c r="J48" s="14">
        <f t="shared" ca="1" si="25"/>
        <v>0.32166575818780813</v>
      </c>
      <c r="K48" s="10">
        <f t="shared" ca="1" si="26"/>
        <v>6.4976731978924951</v>
      </c>
      <c r="L48" s="14">
        <f t="shared" si="27"/>
        <v>1.3596960855399778</v>
      </c>
      <c r="M48" s="14">
        <f t="shared" ca="1" si="28"/>
        <v>1.2160296937445154</v>
      </c>
      <c r="N48" s="14">
        <f t="shared" ca="1" si="29"/>
        <v>9.0733989771769874</v>
      </c>
      <c r="O48" s="14">
        <f t="shared" ca="1" si="14"/>
        <v>0.50354169071149291</v>
      </c>
      <c r="P48" s="11">
        <f t="shared" ca="1" si="15"/>
        <v>-0.19969566404228978</v>
      </c>
      <c r="S48" s="26">
        <f t="shared" ca="1" si="30"/>
        <v>0.51</v>
      </c>
      <c r="T48" s="18">
        <f ca="1">INDEX(Inputs!BU$4:BU$81,Model!$C48)</f>
        <v>0.51</v>
      </c>
      <c r="U48" s="10">
        <f>INDEX(Inputs!Z$4:Z$81,Model!$C48)</f>
        <v>611860</v>
      </c>
      <c r="V48" s="14">
        <f>INDEX(Inputs!AA$4:AA$81,Model!$C48)</f>
        <v>502725</v>
      </c>
      <c r="W48" s="11">
        <f>INDEX(Inputs!AB$4:AB$81,Model!$C48)</f>
        <v>109135</v>
      </c>
      <c r="X48" s="10">
        <f t="shared" ca="1" si="31"/>
        <v>312048.59999999998</v>
      </c>
      <c r="Y48" s="14">
        <f t="shared" ca="1" si="32"/>
        <v>299811.40000000002</v>
      </c>
      <c r="Z48" s="14">
        <f t="shared" ca="1" si="33"/>
        <v>-190676.40000000002</v>
      </c>
      <c r="AA48" s="11">
        <f t="shared" ca="1" si="34"/>
        <v>190676.40000000002</v>
      </c>
      <c r="AB48" s="33">
        <f t="shared" ca="1" si="16"/>
        <v>-0.37928569297329556</v>
      </c>
      <c r="AC48" s="34">
        <f t="shared" ca="1" si="17"/>
        <v>1.7471608558207727</v>
      </c>
      <c r="AD48" s="26">
        <f t="shared" ca="1" si="18"/>
        <v>2.1076455054413596E-2</v>
      </c>
      <c r="AE48" s="18">
        <f t="shared" ca="1" si="19"/>
        <v>2.1076455054413596E-2</v>
      </c>
      <c r="AF48" s="10" t="str">
        <f t="shared" si="35"/>
        <v>Southland Regional</v>
      </c>
      <c r="AG48" s="42">
        <f t="shared" ca="1" si="20"/>
        <v>0.51</v>
      </c>
      <c r="AH48" s="18">
        <f t="shared" ca="1" si="21"/>
        <v>0.51</v>
      </c>
      <c r="AI48" s="1"/>
      <c r="AJ48" s="1"/>
      <c r="AK48" s="1"/>
      <c r="AL48" s="1"/>
      <c r="AM48" s="1">
        <f ca="1">MIN(W25,Y25)</f>
        <v>7480705</v>
      </c>
      <c r="AN48" s="1">
        <f ca="1">Y25-AM48</f>
        <v>1059283.7735231575</v>
      </c>
      <c r="AO48" s="1">
        <f ca="1">W25-AM48</f>
        <v>0</v>
      </c>
    </row>
    <row r="49" spans="1:41" x14ac:dyDescent="0.25">
      <c r="A49" s="94">
        <f t="shared" ca="1" si="22"/>
        <v>47</v>
      </c>
      <c r="B49" s="95">
        <v>57</v>
      </c>
      <c r="C49">
        <f>MATCH(B49,Inputs!$A$4:$A$81,0)</f>
        <v>50</v>
      </c>
      <c r="D49" t="str">
        <f>INDEX(Inputs!$A$4:$AD$81,Model!$C49,D$90)</f>
        <v>Hurunui District</v>
      </c>
      <c r="E49">
        <f ca="1">INDEX(Inputs!$A$4:$AD$81,Model!$C49,E$90)</f>
        <v>7887</v>
      </c>
      <c r="F49">
        <f>INDEX(Inputs!$A$4:$AD$81,Model!$C49,F$90)</f>
        <v>950.8275493860117</v>
      </c>
      <c r="G49">
        <f ca="1">INDEX(Inputs!$A$4:$AD$81,Model!$C49,G$90)</f>
        <v>2.1477400525827862E-7</v>
      </c>
      <c r="H49" s="10">
        <f t="shared" ca="1" si="23"/>
        <v>-0.45795131590136939</v>
      </c>
      <c r="I49" s="14">
        <f t="shared" si="24"/>
        <v>-1.2331364526906328</v>
      </c>
      <c r="J49" s="14">
        <f t="shared" ca="1" si="25"/>
        <v>0.37220229758154161</v>
      </c>
      <c r="K49" s="10">
        <f t="shared" ca="1" si="26"/>
        <v>7.0690748379899428</v>
      </c>
      <c r="L49" s="14">
        <f t="shared" si="27"/>
        <v>0.73440899959686678</v>
      </c>
      <c r="M49" s="14">
        <f t="shared" ca="1" si="28"/>
        <v>1.2665662331382488</v>
      </c>
      <c r="N49" s="14">
        <f t="shared" ca="1" si="29"/>
        <v>9.070050070725058</v>
      </c>
      <c r="O49" s="14">
        <f t="shared" ca="1" si="14"/>
        <v>0.50330788012315564</v>
      </c>
      <c r="P49" s="11">
        <f t="shared" ca="1" si="15"/>
        <v>-0.2030445704942192</v>
      </c>
      <c r="S49" s="26">
        <f t="shared" ca="1" si="30"/>
        <v>0.51</v>
      </c>
      <c r="T49" s="18">
        <f ca="1">INDEX(Inputs!BU$4:BU$81,Model!$C49)</f>
        <v>0.51</v>
      </c>
      <c r="U49" s="10">
        <f>INDEX(Inputs!Z$4:Z$81,Model!$C49)</f>
        <v>25376880</v>
      </c>
      <c r="V49" s="14">
        <f>INDEX(Inputs!AA$4:AA$81,Model!$C49)</f>
        <v>13320500</v>
      </c>
      <c r="W49" s="11">
        <f>INDEX(Inputs!AB$4:AB$81,Model!$C49)</f>
        <v>12056380</v>
      </c>
      <c r="X49" s="10">
        <f t="shared" ca="1" si="31"/>
        <v>12942208.800000001</v>
      </c>
      <c r="Y49" s="14">
        <f t="shared" ca="1" si="32"/>
        <v>12434671.199999999</v>
      </c>
      <c r="Z49" s="14">
        <f t="shared" ca="1" si="33"/>
        <v>-378291.19999999925</v>
      </c>
      <c r="AA49" s="11">
        <f t="shared" ca="1" si="34"/>
        <v>378291.19999999925</v>
      </c>
      <c r="AB49" s="33">
        <f t="shared" ca="1" si="16"/>
        <v>-2.8399174205172423E-2</v>
      </c>
      <c r="AC49" s="34">
        <f t="shared" ca="1" si="17"/>
        <v>3.1376847776861651E-2</v>
      </c>
      <c r="AD49" s="26">
        <f t="shared" ca="1" si="18"/>
        <v>4.1814495523725889E-2</v>
      </c>
      <c r="AE49" s="18">
        <f t="shared" ca="1" si="19"/>
        <v>4.1814495523725889E-2</v>
      </c>
      <c r="AF49" s="10" t="str">
        <f t="shared" si="35"/>
        <v>Hurunui District</v>
      </c>
      <c r="AG49" s="42">
        <f t="shared" ca="1" si="20"/>
        <v>0.51</v>
      </c>
      <c r="AH49" s="18">
        <f t="shared" ca="1" si="21"/>
        <v>0.51</v>
      </c>
      <c r="AI49" s="1"/>
      <c r="AJ49" s="1">
        <f ca="1">MIN(V26,X26)</f>
        <v>10828796</v>
      </c>
      <c r="AK49" s="1">
        <f ca="1">X26-AJ49</f>
        <v>891875.12567432225</v>
      </c>
      <c r="AL49" s="1">
        <f ca="1">V26-AJ49</f>
        <v>0</v>
      </c>
      <c r="AM49" s="1"/>
      <c r="AN49" s="1"/>
      <c r="AO49" s="1"/>
    </row>
    <row r="50" spans="1:41" x14ac:dyDescent="0.25">
      <c r="A50" s="94">
        <f t="shared" ca="1" si="22"/>
        <v>48</v>
      </c>
      <c r="B50" s="95">
        <v>13</v>
      </c>
      <c r="C50">
        <f>MATCH(B50,Inputs!$A$4:$A$81,0)</f>
        <v>7</v>
      </c>
      <c r="D50" t="str">
        <f>INDEX(Inputs!$A$4:$AD$81,Model!$C50,D$90)</f>
        <v>Matamata-Piako District</v>
      </c>
      <c r="E50">
        <f ca="1">INDEX(Inputs!$A$4:$AD$81,Model!$C50,E$90)</f>
        <v>14376</v>
      </c>
      <c r="F50">
        <f>INDEX(Inputs!$A$4:$AD$81,Model!$C50,F$90)</f>
        <v>986.98681148176877</v>
      </c>
      <c r="G50">
        <f ca="1">INDEX(Inputs!$A$4:$AD$81,Model!$C50,G$90)</f>
        <v>7.4661549455897341E-8</v>
      </c>
      <c r="H50" s="10">
        <f t="shared" ca="1" si="23"/>
        <v>-0.37112513468667441</v>
      </c>
      <c r="I50" s="14">
        <f t="shared" si="24"/>
        <v>-0.36966822443632308</v>
      </c>
      <c r="J50" s="14">
        <f t="shared" ca="1" si="25"/>
        <v>-0.4989050512819484</v>
      </c>
      <c r="K50" s="10">
        <f t="shared" ca="1" si="26"/>
        <v>6.9822486567752478</v>
      </c>
      <c r="L50" s="14">
        <f t="shared" si="27"/>
        <v>1.5978772278511766</v>
      </c>
      <c r="M50" s="14">
        <f t="shared" ca="1" si="28"/>
        <v>0.39545888427475884</v>
      </c>
      <c r="N50" s="14">
        <f t="shared" ca="1" si="29"/>
        <v>8.9755847689011823</v>
      </c>
      <c r="O50" s="14">
        <f t="shared" ca="1" si="14"/>
        <v>0.49671259652418526</v>
      </c>
      <c r="P50" s="11">
        <f t="shared" ca="1" si="15"/>
        <v>-0.29750987231809489</v>
      </c>
      <c r="S50" s="26">
        <f t="shared" ca="1" si="30"/>
        <v>0.51</v>
      </c>
      <c r="T50" s="18">
        <f ca="1">INDEX(Inputs!BU$4:BU$81,Model!$C50)</f>
        <v>0.51</v>
      </c>
      <c r="U50" s="10">
        <f>INDEX(Inputs!Z$4:Z$81,Model!$C50)</f>
        <v>42375862</v>
      </c>
      <c r="V50" s="14">
        <f>INDEX(Inputs!AA$4:AA$81,Model!$C50)</f>
        <v>20685033</v>
      </c>
      <c r="W50" s="11">
        <f>INDEX(Inputs!AB$4:AB$81,Model!$C50)</f>
        <v>21690829</v>
      </c>
      <c r="X50" s="10">
        <f t="shared" ca="1" si="31"/>
        <v>21611689.620000001</v>
      </c>
      <c r="Y50" s="14">
        <f t="shared" ca="1" si="32"/>
        <v>20764172.379999999</v>
      </c>
      <c r="Z50" s="14">
        <f t="shared" ca="1" si="33"/>
        <v>926656.62000000104</v>
      </c>
      <c r="AA50" s="11">
        <f t="shared" ca="1" si="34"/>
        <v>-926656.62000000104</v>
      </c>
      <c r="AB50" s="33">
        <f t="shared" ca="1" si="16"/>
        <v>4.4798411489118777E-2</v>
      </c>
      <c r="AC50" s="34">
        <f t="shared" ca="1" si="17"/>
        <v>-4.2721125135420181E-2</v>
      </c>
      <c r="AD50" s="26">
        <f t="shared" ca="1" si="18"/>
        <v>-0.10242817990220519</v>
      </c>
      <c r="AE50" s="18">
        <f t="shared" ca="1" si="19"/>
        <v>-0.10242817990220519</v>
      </c>
      <c r="AF50" s="10" t="str">
        <f t="shared" si="35"/>
        <v>Matamata-Piako District</v>
      </c>
      <c r="AG50" s="42">
        <f t="shared" ca="1" si="20"/>
        <v>0.51</v>
      </c>
      <c r="AH50" s="18">
        <f t="shared" ca="1" si="21"/>
        <v>0.51</v>
      </c>
      <c r="AI50" s="1"/>
      <c r="AJ50" s="1"/>
      <c r="AK50" s="1"/>
      <c r="AL50" s="1"/>
      <c r="AM50" s="1">
        <f ca="1">MIN(W26,Y26)</f>
        <v>8522714.8743256778</v>
      </c>
      <c r="AN50" s="1">
        <f ca="1">Y26-AM50</f>
        <v>0</v>
      </c>
      <c r="AO50" s="1">
        <f ca="1">W26-AM50</f>
        <v>891875.12567432225</v>
      </c>
    </row>
    <row r="51" spans="1:41" x14ac:dyDescent="0.25">
      <c r="A51" s="94">
        <f t="shared" ca="1" si="22"/>
        <v>49</v>
      </c>
      <c r="B51" s="95">
        <v>60</v>
      </c>
      <c r="C51">
        <f>MATCH(B51,Inputs!$A$4:$A$81,0)</f>
        <v>53</v>
      </c>
      <c r="D51" t="str">
        <f>INDEX(Inputs!$A$4:$AD$81,Model!$C51,D$90)</f>
        <v>Timaru District</v>
      </c>
      <c r="E51">
        <f ca="1">INDEX(Inputs!$A$4:$AD$81,Model!$C51,E$90)</f>
        <v>21951</v>
      </c>
      <c r="F51">
        <f>INDEX(Inputs!$A$4:$AD$81,Model!$C51,F$90)</f>
        <v>975.74330466400954</v>
      </c>
      <c r="G51">
        <f ca="1">INDEX(Inputs!$A$4:$AD$81,Model!$C51,G$90)</f>
        <v>1.3408054089565848E-7</v>
      </c>
      <c r="H51" s="10">
        <f t="shared" ca="1" si="23"/>
        <v>-0.26976771093859075</v>
      </c>
      <c r="I51" s="14">
        <f t="shared" si="24"/>
        <v>-0.6381585184469134</v>
      </c>
      <c r="J51" s="14">
        <f t="shared" ca="1" si="25"/>
        <v>-0.129485217700293</v>
      </c>
      <c r="K51" s="10">
        <f t="shared" ca="1" si="26"/>
        <v>6.8808912330271639</v>
      </c>
      <c r="L51" s="14">
        <f t="shared" si="27"/>
        <v>1.3293869338405861</v>
      </c>
      <c r="M51" s="14">
        <f t="shared" ca="1" si="28"/>
        <v>0.76487871785641426</v>
      </c>
      <c r="N51" s="14">
        <f t="shared" ca="1" si="29"/>
        <v>8.9751568847241643</v>
      </c>
      <c r="O51" s="14">
        <f t="shared" ca="1" si="14"/>
        <v>0.49668272293631271</v>
      </c>
      <c r="P51" s="11">
        <f t="shared" ca="1" si="15"/>
        <v>-0.29793775649511289</v>
      </c>
      <c r="S51" s="26">
        <f t="shared" ca="1" si="30"/>
        <v>0.51</v>
      </c>
      <c r="T51" s="18">
        <f ca="1">INDEX(Inputs!BU$4:BU$81,Model!$C51)</f>
        <v>0.51</v>
      </c>
      <c r="U51" s="10">
        <f>INDEX(Inputs!Z$4:Z$81,Model!$C51)</f>
        <v>45631744</v>
      </c>
      <c r="V51" s="14">
        <f>INDEX(Inputs!AA$4:AA$81,Model!$C51)</f>
        <v>24520988</v>
      </c>
      <c r="W51" s="11">
        <f>INDEX(Inputs!AB$4:AB$81,Model!$C51)</f>
        <v>21110756</v>
      </c>
      <c r="X51" s="10">
        <f t="shared" ca="1" si="31"/>
        <v>23272189.440000001</v>
      </c>
      <c r="Y51" s="14">
        <f t="shared" ca="1" si="32"/>
        <v>22359554.559999999</v>
      </c>
      <c r="Z51" s="14">
        <f t="shared" ca="1" si="33"/>
        <v>-1248798.5599999987</v>
      </c>
      <c r="AA51" s="11">
        <f t="shared" ca="1" si="34"/>
        <v>1248798.5599999987</v>
      </c>
      <c r="AB51" s="33">
        <f t="shared" ca="1" si="16"/>
        <v>-5.0927742389499098E-2</v>
      </c>
      <c r="AC51" s="34">
        <f t="shared" ca="1" si="17"/>
        <v>5.915461104282569E-2</v>
      </c>
      <c r="AD51" s="26">
        <f t="shared" ca="1" si="18"/>
        <v>0.13803620543421413</v>
      </c>
      <c r="AE51" s="18">
        <f t="shared" ca="1" si="19"/>
        <v>0.13803620543421413</v>
      </c>
      <c r="AF51" s="10" t="str">
        <f t="shared" si="35"/>
        <v>Timaru District</v>
      </c>
      <c r="AG51" s="42">
        <f t="shared" ca="1" si="20"/>
        <v>0.51</v>
      </c>
      <c r="AH51" s="18">
        <f t="shared" ca="1" si="21"/>
        <v>0.51</v>
      </c>
      <c r="AI51" s="1"/>
      <c r="AJ51" s="1">
        <f ca="1">MIN(V27,X27)</f>
        <v>25010931</v>
      </c>
      <c r="AK51" s="1">
        <f ca="1">X27-AJ51</f>
        <v>2840313.2289376818</v>
      </c>
      <c r="AL51" s="1">
        <f ca="1">V27-AJ51</f>
        <v>0</v>
      </c>
      <c r="AM51" s="1"/>
      <c r="AN51" s="1"/>
      <c r="AO51" s="1"/>
    </row>
    <row r="52" spans="1:41" x14ac:dyDescent="0.25">
      <c r="A52" s="94">
        <f t="shared" ca="1" si="22"/>
        <v>50</v>
      </c>
      <c r="B52" s="95">
        <v>87</v>
      </c>
      <c r="C52">
        <f>MATCH(B52,Inputs!$A$4:$A$81,0)</f>
        <v>72</v>
      </c>
      <c r="D52" t="str">
        <f>INDEX(Inputs!$A$4:$AD$81,Model!$C52,D$90)</f>
        <v>Taranaki Regional</v>
      </c>
      <c r="E52">
        <f ca="1">INDEX(Inputs!$A$4:$AD$81,Model!$C52,E$90)</f>
        <v>53855</v>
      </c>
      <c r="F52">
        <f>INDEX(Inputs!$A$4:$AD$81,Model!$C52,F$90)</f>
        <v>999.61803690548379</v>
      </c>
      <c r="G52">
        <f ca="1">INDEX(Inputs!$A$4:$AD$81,Model!$C52,G$90)</f>
        <v>1.0510782457337532E-7</v>
      </c>
      <c r="H52" s="10">
        <f t="shared" ca="1" si="23"/>
        <v>0.15712433490416308</v>
      </c>
      <c r="I52" s="14">
        <f t="shared" si="24"/>
        <v>-6.8039783888699426E-2</v>
      </c>
      <c r="J52" s="14">
        <f t="shared" ca="1" si="25"/>
        <v>-0.30961442862837035</v>
      </c>
      <c r="K52" s="10">
        <f t="shared" ca="1" si="26"/>
        <v>6.4539991871844107</v>
      </c>
      <c r="L52" s="14">
        <f t="shared" si="27"/>
        <v>1.8995056683988001</v>
      </c>
      <c r="M52" s="14">
        <f t="shared" ca="1" si="28"/>
        <v>0.58474950692833683</v>
      </c>
      <c r="N52" s="14">
        <f t="shared" ca="1" si="29"/>
        <v>8.9382543625115467</v>
      </c>
      <c r="O52" s="14">
        <f t="shared" ca="1" si="14"/>
        <v>0.49410629969084119</v>
      </c>
      <c r="P52" s="11">
        <f t="shared" ca="1" si="15"/>
        <v>-0.33484027870773048</v>
      </c>
      <c r="S52" s="26">
        <f t="shared" ca="1" si="30"/>
        <v>0.51</v>
      </c>
      <c r="T52" s="18">
        <f ca="1">INDEX(Inputs!BU$4:BU$81,Model!$C52)</f>
        <v>0.51</v>
      </c>
      <c r="U52" s="10">
        <f>INDEX(Inputs!Z$4:Z$81,Model!$C52)</f>
        <v>8481823</v>
      </c>
      <c r="V52" s="14">
        <f>INDEX(Inputs!AA$4:AA$81,Model!$C52)</f>
        <v>4480677</v>
      </c>
      <c r="W52" s="11">
        <f>INDEX(Inputs!AB$4:AB$81,Model!$C52)</f>
        <v>4001146</v>
      </c>
      <c r="X52" s="10">
        <f t="shared" ca="1" si="31"/>
        <v>4325729.7300000004</v>
      </c>
      <c r="Y52" s="14">
        <f t="shared" ca="1" si="32"/>
        <v>4156093.2699999996</v>
      </c>
      <c r="Z52" s="14">
        <f t="shared" ca="1" si="33"/>
        <v>-154947.26999999955</v>
      </c>
      <c r="AA52" s="11">
        <f t="shared" ca="1" si="34"/>
        <v>154947.26999999955</v>
      </c>
      <c r="AB52" s="33">
        <f t="shared" ca="1" si="16"/>
        <v>-3.4581218418555847E-2</v>
      </c>
      <c r="AC52" s="34">
        <f t="shared" ca="1" si="17"/>
        <v>3.8725722580480577E-2</v>
      </c>
      <c r="AD52" s="26">
        <f t="shared" ca="1" si="18"/>
        <v>1.712712832819939E-2</v>
      </c>
      <c r="AE52" s="18">
        <f t="shared" ca="1" si="19"/>
        <v>1.712712832819939E-2</v>
      </c>
      <c r="AF52" s="10" t="str">
        <f t="shared" si="35"/>
        <v>Taranaki Regional</v>
      </c>
      <c r="AG52" s="42">
        <f t="shared" ca="1" si="20"/>
        <v>0.51</v>
      </c>
      <c r="AH52" s="18">
        <f t="shared" ca="1" si="21"/>
        <v>0.51</v>
      </c>
      <c r="AI52" s="1"/>
      <c r="AJ52" s="1"/>
      <c r="AK52" s="1"/>
      <c r="AL52" s="1"/>
      <c r="AM52" s="1">
        <f ca="1">MIN(W27,Y27)</f>
        <v>20755427.771062318</v>
      </c>
      <c r="AN52" s="1">
        <f ca="1">Y27-AM52</f>
        <v>0</v>
      </c>
      <c r="AO52" s="1">
        <f ca="1">W27-AM52</f>
        <v>2840313.2289376818</v>
      </c>
    </row>
    <row r="53" spans="1:41" x14ac:dyDescent="0.25">
      <c r="A53" s="94">
        <f t="shared" ca="1" si="22"/>
        <v>51</v>
      </c>
      <c r="B53" s="95">
        <v>88</v>
      </c>
      <c r="C53">
        <f>MATCH(B53,Inputs!$A$4:$A$81,0)</f>
        <v>73</v>
      </c>
      <c r="D53" t="str">
        <f>INDEX(Inputs!$A$4:$AD$81,Model!$C53,D$90)</f>
        <v>Manawatu-Wanganui Regional</v>
      </c>
      <c r="E53">
        <f ca="1">INDEX(Inputs!$A$4:$AD$81,Model!$C53,E$90)</f>
        <v>111611</v>
      </c>
      <c r="F53">
        <f>INDEX(Inputs!$A$4:$AD$81,Model!$C53,F$90)</f>
        <v>1016.513170675133</v>
      </c>
      <c r="G53">
        <f ca="1">INDEX(Inputs!$A$4:$AD$81,Model!$C53,G$90)</f>
        <v>1.6286578859190514E-7</v>
      </c>
      <c r="H53" s="10">
        <f t="shared" ca="1" si="23"/>
        <v>0.92992953173509618</v>
      </c>
      <c r="I53" s="14">
        <f t="shared" si="24"/>
        <v>0.33540902498260633</v>
      </c>
      <c r="J53" s="14">
        <f t="shared" ca="1" si="25"/>
        <v>4.9478463033580375E-2</v>
      </c>
      <c r="K53" s="10">
        <f t="shared" ca="1" si="26"/>
        <v>5.6811939903534769</v>
      </c>
      <c r="L53" s="14">
        <f t="shared" si="27"/>
        <v>2.3029544772701058</v>
      </c>
      <c r="M53" s="14">
        <f t="shared" ca="1" si="28"/>
        <v>0.94384239859028762</v>
      </c>
      <c r="N53" s="14">
        <f t="shared" ca="1" si="29"/>
        <v>8.9279908662138698</v>
      </c>
      <c r="O53" s="14">
        <f t="shared" ca="1" si="14"/>
        <v>0.49338973321094609</v>
      </c>
      <c r="P53" s="11">
        <f t="shared" ca="1" si="15"/>
        <v>-0.34510377500540734</v>
      </c>
      <c r="S53" s="26">
        <f t="shared" ca="1" si="30"/>
        <v>0.51</v>
      </c>
      <c r="T53" s="18">
        <f ca="1">INDEX(Inputs!BU$4:BU$81,Model!$C53)</f>
        <v>0.51</v>
      </c>
      <c r="U53" s="10">
        <f>INDEX(Inputs!Z$4:Z$81,Model!$C53)</f>
        <v>20861305</v>
      </c>
      <c r="V53" s="14">
        <f>INDEX(Inputs!AA$4:AA$81,Model!$C53)</f>
        <v>12068825</v>
      </c>
      <c r="W53" s="11">
        <f>INDEX(Inputs!AB$4:AB$81,Model!$C53)</f>
        <v>8792480</v>
      </c>
      <c r="X53" s="10">
        <f t="shared" ca="1" si="31"/>
        <v>10639265.550000001</v>
      </c>
      <c r="Y53" s="14">
        <f t="shared" ca="1" si="32"/>
        <v>10222039.449999999</v>
      </c>
      <c r="Z53" s="14">
        <f t="shared" ca="1" si="33"/>
        <v>-1429559.4499999993</v>
      </c>
      <c r="AA53" s="11">
        <f t="shared" ca="1" si="34"/>
        <v>1429559.4499999993</v>
      </c>
      <c r="AB53" s="33">
        <f t="shared" ca="1" si="16"/>
        <v>-0.11845059067473422</v>
      </c>
      <c r="AC53" s="34">
        <f t="shared" ca="1" si="17"/>
        <v>0.1625888770858733</v>
      </c>
      <c r="AD53" s="26">
        <f t="shared" ca="1" si="18"/>
        <v>0.15801664755332701</v>
      </c>
      <c r="AE53" s="18">
        <f t="shared" ca="1" si="19"/>
        <v>0.15801664755332701</v>
      </c>
      <c r="AF53" s="10" t="str">
        <f t="shared" si="35"/>
        <v>Manawatu-Wanganui Regional</v>
      </c>
      <c r="AG53" s="42">
        <f t="shared" ca="1" si="20"/>
        <v>0.51</v>
      </c>
      <c r="AH53" s="18">
        <f t="shared" ca="1" si="21"/>
        <v>0.51</v>
      </c>
      <c r="AI53" s="1"/>
      <c r="AJ53" s="1">
        <f ca="1">MIN(V28,X28)</f>
        <v>14799705</v>
      </c>
      <c r="AK53" s="1">
        <f ca="1">X28-AJ53</f>
        <v>288370.35880913772</v>
      </c>
      <c r="AL53" s="1">
        <f ca="1">V28-AJ53</f>
        <v>0</v>
      </c>
      <c r="AM53" s="1"/>
      <c r="AN53" s="1"/>
      <c r="AO53" s="1"/>
    </row>
    <row r="54" spans="1:41" x14ac:dyDescent="0.25">
      <c r="A54" s="94">
        <f t="shared" ca="1" si="22"/>
        <v>52</v>
      </c>
      <c r="B54" s="95">
        <v>73</v>
      </c>
      <c r="C54">
        <f>MATCH(B54,Inputs!$A$4:$A$81,0)</f>
        <v>66</v>
      </c>
      <c r="D54" t="str">
        <f>INDEX(Inputs!$A$4:$AD$81,Model!$C54,D$90)</f>
        <v>Southland District</v>
      </c>
      <c r="E54">
        <f ca="1">INDEX(Inputs!$A$4:$AD$81,Model!$C54,E$90)</f>
        <v>18827</v>
      </c>
      <c r="F54">
        <f>INDEX(Inputs!$A$4:$AD$81,Model!$C54,F$90)</f>
        <v>941.48036539269219</v>
      </c>
      <c r="G54">
        <f ca="1">INDEX(Inputs!$A$4:$AD$81,Model!$C54,G$90)</f>
        <v>2.4747460736442313E-7</v>
      </c>
      <c r="H54" s="10">
        <f t="shared" ca="1" si="23"/>
        <v>-0.31156844912855952</v>
      </c>
      <c r="I54" s="14">
        <f t="shared" si="24"/>
        <v>-1.4563433417168801</v>
      </c>
      <c r="J54" s="14">
        <f t="shared" ca="1" si="25"/>
        <v>0.57550852502430749</v>
      </c>
      <c r="K54" s="10">
        <f t="shared" ca="1" si="26"/>
        <v>6.9226919712171329</v>
      </c>
      <c r="L54" s="14">
        <f t="shared" si="27"/>
        <v>0.51120211057061948</v>
      </c>
      <c r="M54" s="14">
        <f t="shared" ca="1" si="28"/>
        <v>1.4698724605810147</v>
      </c>
      <c r="N54" s="14">
        <f t="shared" ca="1" si="29"/>
        <v>8.9037665423687677</v>
      </c>
      <c r="O54" s="14">
        <f t="shared" ca="1" si="14"/>
        <v>0.49169846369010528</v>
      </c>
      <c r="P54" s="11">
        <f t="shared" ca="1" si="15"/>
        <v>-0.36932809885050943</v>
      </c>
      <c r="S54" s="26">
        <f t="shared" ca="1" si="30"/>
        <v>0.51</v>
      </c>
      <c r="T54" s="18">
        <f ca="1">INDEX(Inputs!BU$4:BU$81,Model!$C54)</f>
        <v>0.51</v>
      </c>
      <c r="U54" s="10">
        <f>INDEX(Inputs!Z$4:Z$81,Model!$C54)</f>
        <v>91555165</v>
      </c>
      <c r="V54" s="14">
        <f>INDEX(Inputs!AA$4:AA$81,Model!$C54)</f>
        <v>50531753</v>
      </c>
      <c r="W54" s="11">
        <f>INDEX(Inputs!AB$4:AB$81,Model!$C54)</f>
        <v>41023412</v>
      </c>
      <c r="X54" s="10">
        <f t="shared" ca="1" si="31"/>
        <v>46693134.149999999</v>
      </c>
      <c r="Y54" s="14">
        <f t="shared" ca="1" si="32"/>
        <v>44862030.850000001</v>
      </c>
      <c r="Z54" s="14">
        <f t="shared" ca="1" si="33"/>
        <v>-3838618.8500000015</v>
      </c>
      <c r="AA54" s="11">
        <f t="shared" ca="1" si="34"/>
        <v>3838618.8500000015</v>
      </c>
      <c r="AB54" s="33">
        <f t="shared" ca="1" si="16"/>
        <v>-7.5964490090023221E-2</v>
      </c>
      <c r="AC54" s="34">
        <f t="shared" ca="1" si="17"/>
        <v>9.3571418437842308E-2</v>
      </c>
      <c r="AD54" s="26">
        <f t="shared" ca="1" si="18"/>
        <v>0.42430252334871976</v>
      </c>
      <c r="AE54" s="18">
        <f t="shared" ca="1" si="19"/>
        <v>0.42430252334871976</v>
      </c>
      <c r="AF54" s="10" t="str">
        <f t="shared" si="35"/>
        <v>Southland District</v>
      </c>
      <c r="AG54" s="42">
        <f t="shared" ca="1" si="20"/>
        <v>0.51</v>
      </c>
      <c r="AH54" s="18">
        <f t="shared" ca="1" si="21"/>
        <v>0.51</v>
      </c>
      <c r="AI54" s="1"/>
      <c r="AJ54" s="1"/>
      <c r="AK54" s="1"/>
      <c r="AL54" s="1"/>
      <c r="AM54" s="1">
        <f ca="1">MIN(W28,Y28)</f>
        <v>11294817.641190862</v>
      </c>
      <c r="AN54" s="1">
        <f ca="1">Y28-AM54</f>
        <v>0</v>
      </c>
      <c r="AO54" s="1">
        <f ca="1">W28-AM54</f>
        <v>288370.35880913772</v>
      </c>
    </row>
    <row r="55" spans="1:41" x14ac:dyDescent="0.25">
      <c r="A55" s="94">
        <f t="shared" ca="1" si="22"/>
        <v>53</v>
      </c>
      <c r="B55" s="95">
        <v>66</v>
      </c>
      <c r="C55">
        <f>MATCH(B55,Inputs!$A$4:$A$81,0)</f>
        <v>59</v>
      </c>
      <c r="D55" t="str">
        <f>INDEX(Inputs!$A$4:$AD$81,Model!$C55,D$90)</f>
        <v>Central Otago District</v>
      </c>
      <c r="E55">
        <f ca="1">INDEX(Inputs!$A$4:$AD$81,Model!$C55,E$90)</f>
        <v>13277</v>
      </c>
      <c r="F55">
        <f>INDEX(Inputs!$A$4:$AD$81,Model!$C55,F$90)</f>
        <v>947.3458356315499</v>
      </c>
      <c r="G55">
        <f ca="1">INDEX(Inputs!$A$4:$AD$81,Model!$C55,G$90)</f>
        <v>2.0917799126317273E-7</v>
      </c>
      <c r="H55" s="10">
        <f t="shared" ca="1" si="23"/>
        <v>-0.38583032395388811</v>
      </c>
      <c r="I55" s="14">
        <f t="shared" si="24"/>
        <v>-1.3162783375801077</v>
      </c>
      <c r="J55" s="14">
        <f t="shared" ca="1" si="25"/>
        <v>0.33741075183663555</v>
      </c>
      <c r="K55" s="10">
        <f t="shared" ca="1" si="26"/>
        <v>6.9969538460424614</v>
      </c>
      <c r="L55" s="14">
        <f t="shared" si="27"/>
        <v>0.65126711470739185</v>
      </c>
      <c r="M55" s="14">
        <f t="shared" ca="1" si="28"/>
        <v>1.2317746873933428</v>
      </c>
      <c r="N55" s="14">
        <f t="shared" ca="1" si="29"/>
        <v>8.879995648143197</v>
      </c>
      <c r="O55" s="14">
        <f t="shared" ca="1" si="14"/>
        <v>0.49003885126319469</v>
      </c>
      <c r="P55" s="11">
        <f t="shared" ca="1" si="15"/>
        <v>-0.39309899307608021</v>
      </c>
      <c r="S55" s="26">
        <f t="shared" ca="1" si="30"/>
        <v>0.51</v>
      </c>
      <c r="T55" s="18">
        <f ca="1">INDEX(Inputs!BU$4:BU$81,Model!$C55)</f>
        <v>0.51</v>
      </c>
      <c r="U55" s="10">
        <f>INDEX(Inputs!Z$4:Z$81,Model!$C55)</f>
        <v>24969002</v>
      </c>
      <c r="V55" s="14">
        <f>INDEX(Inputs!AA$4:AA$81,Model!$C55)</f>
        <v>12978069</v>
      </c>
      <c r="W55" s="11">
        <f>INDEX(Inputs!AB$4:AB$81,Model!$C55)</f>
        <v>11990933</v>
      </c>
      <c r="X55" s="10">
        <f t="shared" ca="1" si="31"/>
        <v>12734191.02</v>
      </c>
      <c r="Y55" s="14">
        <f t="shared" ca="1" si="32"/>
        <v>12234810.98</v>
      </c>
      <c r="Z55" s="14">
        <f t="shared" ca="1" si="33"/>
        <v>-243877.98000000045</v>
      </c>
      <c r="AA55" s="11">
        <f t="shared" ca="1" si="34"/>
        <v>243877.98000000045</v>
      </c>
      <c r="AB55" s="33">
        <f t="shared" ca="1" si="16"/>
        <v>-1.879154595340805E-2</v>
      </c>
      <c r="AC55" s="34">
        <f t="shared" ca="1" si="17"/>
        <v>2.0338532456148362E-2</v>
      </c>
      <c r="AD55" s="26">
        <f t="shared" ca="1" si="18"/>
        <v>2.6957102631637614E-2</v>
      </c>
      <c r="AE55" s="18">
        <f t="shared" ca="1" si="19"/>
        <v>2.6957102631637614E-2</v>
      </c>
      <c r="AF55" s="10" t="str">
        <f t="shared" si="35"/>
        <v>Central Otago District</v>
      </c>
      <c r="AG55" s="42">
        <f t="shared" ca="1" si="20"/>
        <v>0.51</v>
      </c>
      <c r="AH55" s="18">
        <f t="shared" ca="1" si="21"/>
        <v>0.51</v>
      </c>
      <c r="AI55" s="1"/>
      <c r="AJ55" s="1">
        <f ca="1">MIN(V29,X29)</f>
        <v>9238751</v>
      </c>
      <c r="AK55" s="1">
        <f ca="1">X29-AJ55</f>
        <v>493472.80171130784</v>
      </c>
      <c r="AL55" s="1">
        <f ca="1">V29-AJ55</f>
        <v>0</v>
      </c>
      <c r="AM55" s="1"/>
      <c r="AN55" s="1"/>
      <c r="AO55" s="1"/>
    </row>
    <row r="56" spans="1:41" x14ac:dyDescent="0.25">
      <c r="A56" s="94">
        <f t="shared" ca="1" si="22"/>
        <v>54</v>
      </c>
      <c r="B56" s="95">
        <v>32</v>
      </c>
      <c r="C56">
        <f>MATCH(B56,Inputs!$A$4:$A$81,0)</f>
        <v>26</v>
      </c>
      <c r="D56" t="str">
        <f>INDEX(Inputs!$A$4:$AD$81,Model!$C56,D$90)</f>
        <v>New Plymouth District</v>
      </c>
      <c r="E56">
        <f ca="1">INDEX(Inputs!$A$4:$AD$81,Model!$C56,E$90)</f>
        <v>34734</v>
      </c>
      <c r="F56">
        <f>INDEX(Inputs!$A$4:$AD$81,Model!$C56,F$90)</f>
        <v>993.26911636045497</v>
      </c>
      <c r="G56">
        <f ca="1">INDEX(Inputs!$A$4:$AD$81,Model!$C56,G$90)</f>
        <v>6.5202743727100691E-8</v>
      </c>
      <c r="H56" s="10">
        <f t="shared" ca="1" si="23"/>
        <v>-9.8724549516577137E-2</v>
      </c>
      <c r="I56" s="14">
        <f t="shared" si="24"/>
        <v>-0.21964938144701601</v>
      </c>
      <c r="J56" s="14">
        <f t="shared" ca="1" si="25"/>
        <v>-0.55771235099446115</v>
      </c>
      <c r="K56" s="10">
        <f t="shared" ca="1" si="26"/>
        <v>6.7098480716051503</v>
      </c>
      <c r="L56" s="14">
        <f t="shared" si="27"/>
        <v>1.7478960708404836</v>
      </c>
      <c r="M56" s="14">
        <f t="shared" ca="1" si="28"/>
        <v>0.33665158456224609</v>
      </c>
      <c r="N56" s="14">
        <f t="shared" ca="1" si="29"/>
        <v>8.7943957270078794</v>
      </c>
      <c r="O56" s="14">
        <f t="shared" ca="1" si="14"/>
        <v>0.48406252191223903</v>
      </c>
      <c r="P56" s="11">
        <f t="shared" ca="1" si="15"/>
        <v>-0.47869891421139776</v>
      </c>
      <c r="S56" s="26">
        <f t="shared" ca="1" si="30"/>
        <v>0.51</v>
      </c>
      <c r="T56" s="18">
        <f ca="1">INDEX(Inputs!BU$4:BU$81,Model!$C56)</f>
        <v>0.51</v>
      </c>
      <c r="U56" s="10">
        <f>INDEX(Inputs!Z$4:Z$81,Model!$C56)</f>
        <v>59562062</v>
      </c>
      <c r="V56" s="14">
        <f>INDEX(Inputs!AA$4:AA$81,Model!$C56)</f>
        <v>31680017</v>
      </c>
      <c r="W56" s="11">
        <f>INDEX(Inputs!AB$4:AB$81,Model!$C56)</f>
        <v>27882045</v>
      </c>
      <c r="X56" s="10">
        <f t="shared" ca="1" si="31"/>
        <v>30376651.620000001</v>
      </c>
      <c r="Y56" s="14">
        <f t="shared" ca="1" si="32"/>
        <v>29185410.379999999</v>
      </c>
      <c r="Z56" s="14">
        <f t="shared" ca="1" si="33"/>
        <v>-1303365.379999999</v>
      </c>
      <c r="AA56" s="11">
        <f t="shared" ca="1" si="34"/>
        <v>1303365.379999999</v>
      </c>
      <c r="AB56" s="33">
        <f t="shared" ca="1" si="16"/>
        <v>-4.1141561887419409E-2</v>
      </c>
      <c r="AC56" s="34">
        <f t="shared" ca="1" si="17"/>
        <v>4.6745688130120977E-2</v>
      </c>
      <c r="AD56" s="26">
        <f t="shared" ca="1" si="18"/>
        <v>0.14406776009536928</v>
      </c>
      <c r="AE56" s="18">
        <f t="shared" ca="1" si="19"/>
        <v>0.14406776009536928</v>
      </c>
      <c r="AF56" s="10" t="str">
        <f t="shared" si="35"/>
        <v>New Plymouth District</v>
      </c>
      <c r="AG56" s="42">
        <f t="shared" ca="1" si="20"/>
        <v>0.51</v>
      </c>
      <c r="AH56" s="18">
        <f t="shared" ca="1" si="21"/>
        <v>0.51</v>
      </c>
      <c r="AI56" s="1"/>
      <c r="AJ56" s="1"/>
      <c r="AK56" s="1"/>
      <c r="AL56" s="1"/>
      <c r="AM56" s="1">
        <f ca="1">MIN(W29,Y29)</f>
        <v>7347530.1982886922</v>
      </c>
      <c r="AN56" s="1">
        <f ca="1">Y29-AM56</f>
        <v>0</v>
      </c>
      <c r="AO56" s="1">
        <f ca="1">W29-AM56</f>
        <v>493472.80171130784</v>
      </c>
    </row>
    <row r="57" spans="1:41" x14ac:dyDescent="0.25">
      <c r="A57" s="94">
        <f t="shared" ca="1" si="22"/>
        <v>55</v>
      </c>
      <c r="B57" s="95">
        <v>44</v>
      </c>
      <c r="C57">
        <f>MATCH(B57,Inputs!$A$4:$A$81,0)</f>
        <v>38</v>
      </c>
      <c r="D57" t="str">
        <f>INDEX(Inputs!$A$4:$AD$81,Model!$C57,D$90)</f>
        <v>Lower Hutt City</v>
      </c>
      <c r="E57">
        <f ca="1">INDEX(Inputs!$A$4:$AD$81,Model!$C57,E$90)</f>
        <v>39670</v>
      </c>
      <c r="F57">
        <f>INDEX(Inputs!$A$4:$AD$81,Model!$C57,F$90)</f>
        <v>1006.538717120443</v>
      </c>
      <c r="G57">
        <f ca="1">INDEX(Inputs!$A$4:$AD$81,Model!$C57,G$90)</f>
        <v>2.3184632384838849E-8</v>
      </c>
      <c r="H57" s="10">
        <f t="shared" ca="1" si="23"/>
        <v>-3.2678312734987593E-2</v>
      </c>
      <c r="I57" s="14">
        <f t="shared" si="24"/>
        <v>9.7223198184895374E-2</v>
      </c>
      <c r="J57" s="14">
        <f t="shared" ca="1" si="25"/>
        <v>-0.81894740940521082</v>
      </c>
      <c r="K57" s="10">
        <f t="shared" ca="1" si="26"/>
        <v>6.6438018348235612</v>
      </c>
      <c r="L57" s="14">
        <f t="shared" si="27"/>
        <v>2.064768650472395</v>
      </c>
      <c r="M57" s="14">
        <f t="shared" ca="1" si="28"/>
        <v>7.541652615149641E-2</v>
      </c>
      <c r="N57" s="14">
        <f t="shared" ca="1" si="29"/>
        <v>8.7839870114474525</v>
      </c>
      <c r="O57" s="14">
        <f t="shared" ca="1" si="14"/>
        <v>0.48333581665965836</v>
      </c>
      <c r="P57" s="11">
        <f t="shared" ca="1" si="15"/>
        <v>-0.48910762977182465</v>
      </c>
      <c r="S57" s="26">
        <f t="shared" ca="1" si="30"/>
        <v>0.51</v>
      </c>
      <c r="T57" s="18">
        <f ca="1">INDEX(Inputs!BU$4:BU$81,Model!$C57)</f>
        <v>0.51</v>
      </c>
      <c r="U57" s="10">
        <f>INDEX(Inputs!Z$4:Z$81,Model!$C57)</f>
        <v>56731114</v>
      </c>
      <c r="V57" s="14">
        <f>INDEX(Inputs!AA$4:AA$81,Model!$C57)</f>
        <v>27615568</v>
      </c>
      <c r="W57" s="11">
        <f>INDEX(Inputs!AB$4:AB$81,Model!$C57)</f>
        <v>29115546</v>
      </c>
      <c r="X57" s="10">
        <f t="shared" ca="1" si="31"/>
        <v>28932868.140000001</v>
      </c>
      <c r="Y57" s="14">
        <f t="shared" ca="1" si="32"/>
        <v>27798245.859999999</v>
      </c>
      <c r="Z57" s="14">
        <f t="shared" ca="1" si="33"/>
        <v>1317300.1400000006</v>
      </c>
      <c r="AA57" s="11">
        <f t="shared" ca="1" si="34"/>
        <v>-1317300.1400000006</v>
      </c>
      <c r="AB57" s="33">
        <f t="shared" ca="1" si="16"/>
        <v>4.7701359609912806E-2</v>
      </c>
      <c r="AC57" s="34">
        <f t="shared" ca="1" si="17"/>
        <v>-4.5243875557064966E-2</v>
      </c>
      <c r="AD57" s="26">
        <f t="shared" ca="1" si="18"/>
        <v>-0.14560804165530053</v>
      </c>
      <c r="AE57" s="18">
        <f t="shared" ca="1" si="19"/>
        <v>-0.14560804165530053</v>
      </c>
      <c r="AF57" s="10" t="str">
        <f t="shared" si="35"/>
        <v>Lower Hutt City</v>
      </c>
      <c r="AG57" s="42">
        <f t="shared" ca="1" si="20"/>
        <v>0.51</v>
      </c>
      <c r="AH57" s="18">
        <f t="shared" ca="1" si="21"/>
        <v>0.51</v>
      </c>
      <c r="AI57" s="1"/>
      <c r="AJ57" s="1">
        <f ca="1">MIN(V30,X30)</f>
        <v>7641843.2051304048</v>
      </c>
      <c r="AK57" s="1">
        <f ca="1">X30-AJ57</f>
        <v>0</v>
      </c>
      <c r="AL57" s="1">
        <f ca="1">V30-AJ57</f>
        <v>177059.79486959521</v>
      </c>
      <c r="AM57" s="1"/>
      <c r="AN57" s="1"/>
      <c r="AO57" s="1"/>
    </row>
    <row r="58" spans="1:41" x14ac:dyDescent="0.25">
      <c r="A58" s="94">
        <f t="shared" ca="1" si="22"/>
        <v>56</v>
      </c>
      <c r="B58" s="95">
        <v>37</v>
      </c>
      <c r="C58">
        <f>MATCH(B58,Inputs!$A$4:$A$81,0)</f>
        <v>31</v>
      </c>
      <c r="D58" t="str">
        <f>INDEX(Inputs!$A$4:$AD$81,Model!$C58,D$90)</f>
        <v>Palmerston North City</v>
      </c>
      <c r="E58">
        <f ca="1">INDEX(Inputs!$A$4:$AD$81,Model!$C58,E$90)</f>
        <v>32164</v>
      </c>
      <c r="F58">
        <f>INDEX(Inputs!$A$4:$AD$81,Model!$C58,F$90)</f>
        <v>995.22403864734304</v>
      </c>
      <c r="G58">
        <f ca="1">INDEX(Inputs!$A$4:$AD$81,Model!$C58,G$90)</f>
        <v>4.0108823351469001E-8</v>
      </c>
      <c r="H58" s="10">
        <f t="shared" ca="1" si="23"/>
        <v>-0.13311248074199958</v>
      </c>
      <c r="I58" s="14">
        <f t="shared" si="24"/>
        <v>-0.17296664552823821</v>
      </c>
      <c r="J58" s="14">
        <f t="shared" ca="1" si="25"/>
        <v>-0.71372630654056424</v>
      </c>
      <c r="K58" s="10">
        <f t="shared" ca="1" si="26"/>
        <v>6.744236002830573</v>
      </c>
      <c r="L58" s="14">
        <f t="shared" si="27"/>
        <v>1.7945788067592614</v>
      </c>
      <c r="M58" s="14">
        <f t="shared" ca="1" si="28"/>
        <v>0.180637629016143</v>
      </c>
      <c r="N58" s="14">
        <f t="shared" ca="1" si="29"/>
        <v>8.7194524386059769</v>
      </c>
      <c r="O58" s="14">
        <f t="shared" ca="1" si="14"/>
        <v>0.47883020664613729</v>
      </c>
      <c r="P58" s="11">
        <f t="shared" ca="1" si="15"/>
        <v>-0.55364220261330033</v>
      </c>
      <c r="S58" s="26">
        <f t="shared" ca="1" si="30"/>
        <v>0.51</v>
      </c>
      <c r="T58" s="18">
        <f ca="1">INDEX(Inputs!BU$4:BU$81,Model!$C58)</f>
        <v>0.51</v>
      </c>
      <c r="U58" s="10">
        <f>INDEX(Inputs!Z$4:Z$81,Model!$C58)</f>
        <v>34246865</v>
      </c>
      <c r="V58" s="14">
        <f>INDEX(Inputs!AA$4:AA$81,Model!$C58)</f>
        <v>16684384</v>
      </c>
      <c r="W58" s="11">
        <f>INDEX(Inputs!AB$4:AB$81,Model!$C58)</f>
        <v>17562481</v>
      </c>
      <c r="X58" s="10">
        <f t="shared" ca="1" si="31"/>
        <v>17465901.149999999</v>
      </c>
      <c r="Y58" s="14">
        <f t="shared" ca="1" si="32"/>
        <v>16780963.850000001</v>
      </c>
      <c r="Z58" s="14">
        <f t="shared" ca="1" si="33"/>
        <v>781517.14999999851</v>
      </c>
      <c r="AA58" s="11">
        <f t="shared" ca="1" si="34"/>
        <v>-781517.14999999851</v>
      </c>
      <c r="AB58" s="33">
        <f t="shared" ca="1" si="16"/>
        <v>4.6841234893658552E-2</v>
      </c>
      <c r="AC58" s="34">
        <f t="shared" ca="1" si="17"/>
        <v>-4.4499245294557101E-2</v>
      </c>
      <c r="AD58" s="26">
        <f t="shared" ca="1" si="18"/>
        <v>-8.6385158762323888E-2</v>
      </c>
      <c r="AE58" s="18">
        <f t="shared" ca="1" si="19"/>
        <v>-8.6385158762323888E-2</v>
      </c>
      <c r="AF58" s="10" t="str">
        <f t="shared" si="35"/>
        <v>Palmerston North City</v>
      </c>
      <c r="AG58" s="42">
        <f t="shared" ca="1" si="20"/>
        <v>0.51</v>
      </c>
      <c r="AH58" s="18">
        <f t="shared" ca="1" si="21"/>
        <v>0.51</v>
      </c>
      <c r="AI58" s="1"/>
      <c r="AJ58" s="1"/>
      <c r="AK58" s="1"/>
      <c r="AL58" s="1"/>
      <c r="AM58" s="1">
        <f ca="1">MIN(W30,Y30)</f>
        <v>5980186</v>
      </c>
      <c r="AN58" s="1">
        <f ca="1">Y30-AM58</f>
        <v>177059.79486959521</v>
      </c>
      <c r="AO58" s="1">
        <f ca="1">W30-AM58</f>
        <v>0</v>
      </c>
    </row>
    <row r="59" spans="1:41" x14ac:dyDescent="0.25">
      <c r="A59" s="94">
        <f t="shared" ca="1" si="22"/>
        <v>57</v>
      </c>
      <c r="B59" s="95">
        <v>54</v>
      </c>
      <c r="C59">
        <f>MATCH(B59,Inputs!$A$4:$A$81,0)</f>
        <v>48</v>
      </c>
      <c r="D59" t="str">
        <f>INDEX(Inputs!$A$4:$AD$81,Model!$C59,D$90)</f>
        <v>Ashburton District</v>
      </c>
      <c r="E59">
        <f ca="1">INDEX(Inputs!$A$4:$AD$81,Model!$C59,E$90)</f>
        <v>15187</v>
      </c>
      <c r="F59">
        <f>INDEX(Inputs!$A$4:$AD$81,Model!$C59,F$90)</f>
        <v>954.60550559333183</v>
      </c>
      <c r="G59">
        <f ca="1">INDEX(Inputs!$A$4:$AD$81,Model!$C59,G$90)</f>
        <v>1.5349722654248338E-7</v>
      </c>
      <c r="H59" s="10">
        <f t="shared" ca="1" si="23"/>
        <v>-0.36027353459958583</v>
      </c>
      <c r="I59" s="14">
        <f t="shared" si="24"/>
        <v>-1.1429204205128118</v>
      </c>
      <c r="J59" s="14">
        <f t="shared" ca="1" si="25"/>
        <v>-8.7677735540178138E-3</v>
      </c>
      <c r="K59" s="10">
        <f t="shared" ca="1" si="26"/>
        <v>6.9713970566881596</v>
      </c>
      <c r="L59" s="14">
        <f t="shared" si="27"/>
        <v>0.82462503177468771</v>
      </c>
      <c r="M59" s="14">
        <f t="shared" ca="1" si="28"/>
        <v>0.88559616200268942</v>
      </c>
      <c r="N59" s="14">
        <f t="shared" ca="1" si="29"/>
        <v>8.6816182504655366</v>
      </c>
      <c r="O59" s="14">
        <f t="shared" ca="1" si="14"/>
        <v>0.47618873728431566</v>
      </c>
      <c r="P59" s="11">
        <f t="shared" ca="1" si="15"/>
        <v>-0.59147639075374059</v>
      </c>
      <c r="S59" s="26">
        <f t="shared" ca="1" si="30"/>
        <v>0.51</v>
      </c>
      <c r="T59" s="18">
        <f ca="1">INDEX(Inputs!BU$4:BU$81,Model!$C59)</f>
        <v>0.51</v>
      </c>
      <c r="U59" s="10">
        <f>INDEX(Inputs!Z$4:Z$81,Model!$C59)</f>
        <v>38975861</v>
      </c>
      <c r="V59" s="14">
        <f>INDEX(Inputs!AA$4:AA$81,Model!$C59)</f>
        <v>18760769</v>
      </c>
      <c r="W59" s="11">
        <f>INDEX(Inputs!AB$4:AB$81,Model!$C59)</f>
        <v>20215092</v>
      </c>
      <c r="X59" s="10">
        <f t="shared" ca="1" si="31"/>
        <v>19877689.109999999</v>
      </c>
      <c r="Y59" s="14">
        <f t="shared" ca="1" si="32"/>
        <v>19098171.890000001</v>
      </c>
      <c r="Z59" s="14">
        <f t="shared" ca="1" si="33"/>
        <v>1116920.1099999994</v>
      </c>
      <c r="AA59" s="11">
        <f t="shared" ca="1" si="34"/>
        <v>-1116920.1099999994</v>
      </c>
      <c r="AB59" s="33">
        <f t="shared" ca="1" si="16"/>
        <v>5.9534878874101554E-2</v>
      </c>
      <c r="AC59" s="34">
        <f t="shared" ca="1" si="17"/>
        <v>-5.5251794550329004E-2</v>
      </c>
      <c r="AD59" s="26">
        <f t="shared" ca="1" si="18"/>
        <v>-0.12345899386492337</v>
      </c>
      <c r="AE59" s="18">
        <f t="shared" ca="1" si="19"/>
        <v>-0.12345899386492337</v>
      </c>
      <c r="AF59" s="10" t="str">
        <f t="shared" si="35"/>
        <v>Ashburton District</v>
      </c>
      <c r="AG59" s="42">
        <f t="shared" ca="1" si="20"/>
        <v>0.51</v>
      </c>
      <c r="AH59" s="18">
        <f t="shared" ca="1" si="21"/>
        <v>0.51</v>
      </c>
      <c r="AI59" s="1"/>
      <c r="AJ59" s="1">
        <f ca="1">MIN(V31,X31)</f>
        <v>7418641</v>
      </c>
      <c r="AK59" s="1">
        <f ca="1">X31-AJ59</f>
        <v>1359032.0311686341</v>
      </c>
      <c r="AL59" s="1">
        <f ca="1">V31-AJ59</f>
        <v>0</v>
      </c>
      <c r="AM59" s="1"/>
      <c r="AN59" s="1"/>
      <c r="AO59" s="1"/>
    </row>
    <row r="60" spans="1:41" x14ac:dyDescent="0.25">
      <c r="A60" s="94">
        <f t="shared" ca="1" si="22"/>
        <v>58</v>
      </c>
      <c r="B60" s="95">
        <v>11</v>
      </c>
      <c r="C60">
        <f>MATCH(B60,Inputs!$A$4:$A$81,0)</f>
        <v>5</v>
      </c>
      <c r="D60" t="str">
        <f>INDEX(Inputs!$A$4:$AD$81,Model!$C60,D$90)</f>
        <v>Hamilton City</v>
      </c>
      <c r="E60">
        <f ca="1">INDEX(Inputs!$A$4:$AD$81,Model!$C60,E$90)</f>
        <v>57390</v>
      </c>
      <c r="F60">
        <f>INDEX(Inputs!$A$4:$AD$81,Model!$C60,F$90)</f>
        <v>1011.2324243470257</v>
      </c>
      <c r="G60">
        <f ca="1">INDEX(Inputs!$A$4:$AD$81,Model!$C60,G$90)</f>
        <v>1.7070745638349314E-8</v>
      </c>
      <c r="H60" s="10">
        <f t="shared" ca="1" si="23"/>
        <v>0.20442446598660211</v>
      </c>
      <c r="I60" s="14">
        <f t="shared" si="24"/>
        <v>0.20930698607163278</v>
      </c>
      <c r="J60" s="14">
        <f t="shared" ca="1" si="25"/>
        <v>-0.85695867431728878</v>
      </c>
      <c r="K60" s="10">
        <f t="shared" ca="1" si="26"/>
        <v>6.4066990561019717</v>
      </c>
      <c r="L60" s="14">
        <f t="shared" si="27"/>
        <v>2.1768524383591323</v>
      </c>
      <c r="M60" s="14">
        <f t="shared" ca="1" si="28"/>
        <v>3.7405261239418452E-2</v>
      </c>
      <c r="N60" s="14">
        <f t="shared" ca="1" si="29"/>
        <v>8.620956755700524</v>
      </c>
      <c r="O60" s="14">
        <f t="shared" ca="1" si="14"/>
        <v>0.47195353394734185</v>
      </c>
      <c r="P60" s="11">
        <f t="shared" ca="1" si="15"/>
        <v>-0.65213788551875318</v>
      </c>
      <c r="S60" s="26">
        <f t="shared" ca="1" si="30"/>
        <v>0.51</v>
      </c>
      <c r="T60" s="18">
        <f ca="1">INDEX(Inputs!BU$4:BU$81,Model!$C60)</f>
        <v>0.51</v>
      </c>
      <c r="U60" s="10">
        <f>INDEX(Inputs!Z$4:Z$81,Model!$C60)</f>
        <v>150268808</v>
      </c>
      <c r="V60" s="14">
        <f>INDEX(Inputs!AA$4:AA$81,Model!$C60)</f>
        <v>78551643.450000003</v>
      </c>
      <c r="W60" s="11">
        <f>INDEX(Inputs!AB$4:AB$81,Model!$C60)</f>
        <v>71717164.549999997</v>
      </c>
      <c r="X60" s="10">
        <f t="shared" ca="1" si="31"/>
        <v>76637092.079999998</v>
      </c>
      <c r="Y60" s="14">
        <f t="shared" ca="1" si="32"/>
        <v>73631715.920000002</v>
      </c>
      <c r="Z60" s="14">
        <f t="shared" ca="1" si="33"/>
        <v>-1914551.3700000048</v>
      </c>
      <c r="AA60" s="11">
        <f t="shared" ca="1" si="34"/>
        <v>1914551.3700000048</v>
      </c>
      <c r="AB60" s="33">
        <f t="shared" ca="1" si="16"/>
        <v>-2.4373154855998176E-2</v>
      </c>
      <c r="AC60" s="34">
        <f t="shared" ca="1" si="17"/>
        <v>2.6695859798879971E-2</v>
      </c>
      <c r="AD60" s="26">
        <f t="shared" ca="1" si="18"/>
        <v>0.21162532908724452</v>
      </c>
      <c r="AE60" s="18">
        <f t="shared" ca="1" si="19"/>
        <v>0.21162532908724452</v>
      </c>
      <c r="AF60" s="10" t="str">
        <f t="shared" si="35"/>
        <v>Hamilton City</v>
      </c>
      <c r="AG60" s="42">
        <f t="shared" ca="1" si="20"/>
        <v>0.51</v>
      </c>
      <c r="AH60" s="18">
        <f t="shared" ca="1" si="21"/>
        <v>0.51</v>
      </c>
      <c r="AI60" s="1"/>
      <c r="AJ60" s="1"/>
      <c r="AK60" s="1"/>
      <c r="AL60" s="1"/>
      <c r="AM60" s="1">
        <f ca="1">MIN(W31,Y31)</f>
        <v>7088842.9688313659</v>
      </c>
      <c r="AN60" s="1">
        <f ca="1">Y31-AM60</f>
        <v>0</v>
      </c>
      <c r="AO60" s="1">
        <f ca="1">W31-AM60</f>
        <v>1359032.0311686341</v>
      </c>
    </row>
    <row r="61" spans="1:41" x14ac:dyDescent="0.25">
      <c r="A61" s="94">
        <f t="shared" ca="1" si="22"/>
        <v>59</v>
      </c>
      <c r="B61" s="95">
        <v>52</v>
      </c>
      <c r="C61">
        <f>MATCH(B61,Inputs!$A$4:$A$81,0)</f>
        <v>46</v>
      </c>
      <c r="D61" t="str">
        <f>INDEX(Inputs!$A$4:$AD$81,Model!$C61,D$90)</f>
        <v>Nelson City</v>
      </c>
      <c r="E61">
        <f ca="1">INDEX(Inputs!$A$4:$AD$81,Model!$C61,E$90)</f>
        <v>21522</v>
      </c>
      <c r="F61">
        <f>INDEX(Inputs!$A$4:$AD$81,Model!$C61,F$90)</f>
        <v>988.50857669407424</v>
      </c>
      <c r="G61">
        <f ca="1">INDEX(Inputs!$A$4:$AD$81,Model!$C61,G$90)</f>
        <v>2.2014182419818486E-8</v>
      </c>
      <c r="H61" s="10">
        <f t="shared" ca="1" si="23"/>
        <v>-0.27550795315481885</v>
      </c>
      <c r="I61" s="14">
        <f t="shared" si="24"/>
        <v>-0.33332910036325109</v>
      </c>
      <c r="J61" s="14">
        <f t="shared" ca="1" si="25"/>
        <v>-0.82622433250364191</v>
      </c>
      <c r="K61" s="10">
        <f t="shared" ca="1" si="26"/>
        <v>6.8866314752433926</v>
      </c>
      <c r="L61" s="14">
        <f t="shared" si="27"/>
        <v>1.6342163519242485</v>
      </c>
      <c r="M61" s="14">
        <f t="shared" ca="1" si="28"/>
        <v>6.8139603053065323E-2</v>
      </c>
      <c r="N61" s="14">
        <f t="shared" ca="1" si="29"/>
        <v>8.5889874302207065</v>
      </c>
      <c r="O61" s="14">
        <f t="shared" ca="1" si="14"/>
        <v>0.46972153167839981</v>
      </c>
      <c r="P61" s="11">
        <f t="shared" ca="1" si="15"/>
        <v>-0.68410721099857064</v>
      </c>
      <c r="S61" s="26">
        <f t="shared" ca="1" si="30"/>
        <v>0.51</v>
      </c>
      <c r="T61" s="18">
        <f ca="1">INDEX(Inputs!BU$4:BU$81,Model!$C61)</f>
        <v>0.51</v>
      </c>
      <c r="U61" s="10">
        <f>INDEX(Inputs!Z$4:Z$81,Model!$C61)</f>
        <v>24540380</v>
      </c>
      <c r="V61" s="14">
        <f>INDEX(Inputs!AA$4:AA$81,Model!$C61)</f>
        <v>11677930</v>
      </c>
      <c r="W61" s="11">
        <f>INDEX(Inputs!AB$4:AB$81,Model!$C61)</f>
        <v>12862450</v>
      </c>
      <c r="X61" s="10">
        <f t="shared" ca="1" si="31"/>
        <v>12515593.800000001</v>
      </c>
      <c r="Y61" s="14">
        <f t="shared" ca="1" si="32"/>
        <v>12024786.199999999</v>
      </c>
      <c r="Z61" s="14">
        <f t="shared" ca="1" si="33"/>
        <v>837663.80000000075</v>
      </c>
      <c r="AA61" s="11">
        <f t="shared" ca="1" si="34"/>
        <v>-837663.80000000075</v>
      </c>
      <c r="AB61" s="33">
        <f t="shared" ca="1" si="16"/>
        <v>7.1730503608088136E-2</v>
      </c>
      <c r="AC61" s="34">
        <f t="shared" ca="1" si="17"/>
        <v>-6.5124746840609746E-2</v>
      </c>
      <c r="AD61" s="26">
        <f t="shared" ca="1" si="18"/>
        <v>-9.2591340257154597E-2</v>
      </c>
      <c r="AE61" s="18">
        <f t="shared" ca="1" si="19"/>
        <v>-9.2591340257154597E-2</v>
      </c>
      <c r="AF61" s="10" t="str">
        <f t="shared" si="35"/>
        <v>Nelson City</v>
      </c>
      <c r="AG61" s="42">
        <f t="shared" ca="1" si="20"/>
        <v>0.51</v>
      </c>
      <c r="AH61" s="18">
        <f t="shared" ca="1" si="21"/>
        <v>0.51</v>
      </c>
      <c r="AI61" s="1"/>
      <c r="AJ61" s="1">
        <f ca="1">MIN(V32,X32)</f>
        <v>26021940</v>
      </c>
      <c r="AK61" s="1">
        <f ca="1">X32-AJ61</f>
        <v>2981780.2064818442</v>
      </c>
      <c r="AL61" s="1">
        <f ca="1">V32-AJ61</f>
        <v>0</v>
      </c>
      <c r="AM61" s="1"/>
      <c r="AN61" s="1"/>
      <c r="AO61" s="1"/>
    </row>
    <row r="62" spans="1:41" x14ac:dyDescent="0.25">
      <c r="A62" s="94">
        <f t="shared" ca="1" si="22"/>
        <v>60</v>
      </c>
      <c r="B62" s="95">
        <v>53</v>
      </c>
      <c r="C62">
        <f>MATCH(B62,Inputs!$A$4:$A$81,0)</f>
        <v>47</v>
      </c>
      <c r="D62" t="str">
        <f>INDEX(Inputs!$A$4:$AD$81,Model!$C62,D$90)</f>
        <v>Tasman District</v>
      </c>
      <c r="E62">
        <f ca="1">INDEX(Inputs!$A$4:$AD$81,Model!$C62,E$90)</f>
        <v>23200</v>
      </c>
      <c r="F62">
        <f>INDEX(Inputs!$A$4:$AD$81,Model!$C62,F$90)</f>
        <v>964.50621765140818</v>
      </c>
      <c r="G62">
        <f ca="1">INDEX(Inputs!$A$4:$AD$81,Model!$C62,G$90)</f>
        <v>1.1744942112787974E-7</v>
      </c>
      <c r="H62" s="10">
        <f t="shared" ca="1" si="23"/>
        <v>-0.25305544397339519</v>
      </c>
      <c r="I62" s="14">
        <f t="shared" si="24"/>
        <v>-0.90649551016469931</v>
      </c>
      <c r="J62" s="14">
        <f t="shared" ca="1" si="25"/>
        <v>-0.23288423791284643</v>
      </c>
      <c r="K62" s="10">
        <f t="shared" ca="1" si="26"/>
        <v>6.864178966061969</v>
      </c>
      <c r="L62" s="14">
        <f t="shared" si="27"/>
        <v>1.0610499421228003</v>
      </c>
      <c r="M62" s="14">
        <f t="shared" ca="1" si="28"/>
        <v>0.66147969764386083</v>
      </c>
      <c r="N62" s="14">
        <f t="shared" ca="1" si="29"/>
        <v>8.5867086058286297</v>
      </c>
      <c r="O62" s="14">
        <f t="shared" ca="1" si="14"/>
        <v>0.4695624310049481</v>
      </c>
      <c r="P62" s="11">
        <f t="shared" ca="1" si="15"/>
        <v>-0.68638603539064746</v>
      </c>
      <c r="S62" s="26">
        <f t="shared" ca="1" si="30"/>
        <v>0.51</v>
      </c>
      <c r="T62" s="18">
        <f ca="1">INDEX(Inputs!BU$4:BU$81,Model!$C62)</f>
        <v>0.51</v>
      </c>
      <c r="U62" s="10">
        <f>INDEX(Inputs!Z$4:Z$81,Model!$C62)</f>
        <v>51111781</v>
      </c>
      <c r="V62" s="14">
        <f>INDEX(Inputs!AA$4:AA$81,Model!$C62)</f>
        <v>25969673</v>
      </c>
      <c r="W62" s="11">
        <f>INDEX(Inputs!AB$4:AB$81,Model!$C62)</f>
        <v>25142108</v>
      </c>
      <c r="X62" s="10">
        <f t="shared" ca="1" si="31"/>
        <v>26067008.309999999</v>
      </c>
      <c r="Y62" s="14">
        <f t="shared" ca="1" si="32"/>
        <v>25044772.690000001</v>
      </c>
      <c r="Z62" s="14">
        <f t="shared" ca="1" si="33"/>
        <v>97335.309999998659</v>
      </c>
      <c r="AA62" s="11">
        <f t="shared" ca="1" si="34"/>
        <v>-97335.309999998659</v>
      </c>
      <c r="AB62" s="33">
        <f t="shared" ca="1" si="16"/>
        <v>3.74803756674174E-3</v>
      </c>
      <c r="AC62" s="34">
        <f t="shared" ca="1" si="17"/>
        <v>-3.8714060889404604E-3</v>
      </c>
      <c r="AD62" s="26">
        <f t="shared" ca="1" si="18"/>
        <v>-1.0758978491425188E-2</v>
      </c>
      <c r="AE62" s="18">
        <f t="shared" ca="1" si="19"/>
        <v>-1.0758978491425188E-2</v>
      </c>
      <c r="AF62" s="10" t="str">
        <f t="shared" si="35"/>
        <v>Tasman District</v>
      </c>
      <c r="AG62" s="42">
        <f t="shared" ca="1" si="20"/>
        <v>0.51</v>
      </c>
      <c r="AH62" s="18">
        <f t="shared" ca="1" si="21"/>
        <v>0.51</v>
      </c>
      <c r="AI62" s="1"/>
      <c r="AJ62" s="1"/>
      <c r="AK62" s="1"/>
      <c r="AL62" s="1"/>
      <c r="AM62" s="1">
        <f ca="1">MIN(W32,Y32)</f>
        <v>23684935.793518156</v>
      </c>
      <c r="AN62" s="1">
        <f ca="1">Y32-AM62</f>
        <v>0</v>
      </c>
      <c r="AO62" s="1">
        <f ca="1">W32-AM62</f>
        <v>2981780.2064818442</v>
      </c>
    </row>
    <row r="63" spans="1:41" x14ac:dyDescent="0.25">
      <c r="A63" s="94">
        <f t="shared" ca="1" si="22"/>
        <v>61</v>
      </c>
      <c r="B63" s="95">
        <v>25</v>
      </c>
      <c r="C63">
        <f>MATCH(B63,Inputs!$A$4:$A$81,0)</f>
        <v>19</v>
      </c>
      <c r="D63" t="str">
        <f>INDEX(Inputs!$A$4:$AD$81,Model!$C63,D$90)</f>
        <v>Western Bay of Plenty District</v>
      </c>
      <c r="E63">
        <f ca="1">INDEX(Inputs!$A$4:$AD$81,Model!$C63,E$90)</f>
        <v>23111</v>
      </c>
      <c r="F63">
        <f>INDEX(Inputs!$A$4:$AD$81,Model!$C63,F$90)</f>
        <v>981.604731430215</v>
      </c>
      <c r="G63">
        <f ca="1">INDEX(Inputs!$A$4:$AD$81,Model!$C63,G$90)</f>
        <v>5.1174126425286752E-8</v>
      </c>
      <c r="H63" s="10">
        <f t="shared" ca="1" si="23"/>
        <v>-0.25424631007419773</v>
      </c>
      <c r="I63" s="14">
        <f t="shared" si="24"/>
        <v>-0.49819007076524219</v>
      </c>
      <c r="J63" s="14">
        <f t="shared" ca="1" si="25"/>
        <v>-0.64493108937158072</v>
      </c>
      <c r="K63" s="10">
        <f t="shared" ca="1" si="26"/>
        <v>6.865369832162771</v>
      </c>
      <c r="L63" s="14">
        <f t="shared" si="27"/>
        <v>1.4693553815222573</v>
      </c>
      <c r="M63" s="14">
        <f t="shared" ca="1" si="28"/>
        <v>0.24943284618512651</v>
      </c>
      <c r="N63" s="14">
        <f t="shared" ca="1" si="29"/>
        <v>8.5841580598701537</v>
      </c>
      <c r="O63" s="14">
        <f t="shared" ca="1" si="14"/>
        <v>0.46938435954798374</v>
      </c>
      <c r="P63" s="11">
        <f t="shared" ca="1" si="15"/>
        <v>-0.6889365813491235</v>
      </c>
      <c r="S63" s="26">
        <f t="shared" ca="1" si="30"/>
        <v>0.51</v>
      </c>
      <c r="T63" s="18">
        <f ca="1">INDEX(Inputs!BU$4:BU$81,Model!$C63)</f>
        <v>0.51</v>
      </c>
      <c r="U63" s="10">
        <f>INDEX(Inputs!Z$4:Z$81,Model!$C63)</f>
        <v>55124401</v>
      </c>
      <c r="V63" s="14">
        <f>INDEX(Inputs!AA$4:AA$81,Model!$C63)</f>
        <v>25614860</v>
      </c>
      <c r="W63" s="11">
        <f>INDEX(Inputs!AB$4:AB$81,Model!$C63)</f>
        <v>29509541</v>
      </c>
      <c r="X63" s="10">
        <f t="shared" ca="1" si="31"/>
        <v>28113444.510000002</v>
      </c>
      <c r="Y63" s="14">
        <f t="shared" ca="1" si="32"/>
        <v>27010956.489999998</v>
      </c>
      <c r="Z63" s="14">
        <f t="shared" ca="1" si="33"/>
        <v>2498584.5100000016</v>
      </c>
      <c r="AA63" s="11">
        <f t="shared" ca="1" si="34"/>
        <v>-2498584.5100000016</v>
      </c>
      <c r="AB63" s="33">
        <f t="shared" ca="1" si="16"/>
        <v>9.7544335983097377E-2</v>
      </c>
      <c r="AC63" s="34">
        <f t="shared" ca="1" si="17"/>
        <v>-8.4670395584939856E-2</v>
      </c>
      <c r="AD63" s="26">
        <f t="shared" ca="1" si="18"/>
        <v>-0.27618155222496882</v>
      </c>
      <c r="AE63" s="18">
        <f t="shared" ca="1" si="19"/>
        <v>-0.27618155222496882</v>
      </c>
      <c r="AF63" s="10" t="str">
        <f t="shared" si="35"/>
        <v>Western Bay of Plenty District</v>
      </c>
      <c r="AG63" s="42">
        <f t="shared" ca="1" si="20"/>
        <v>0.51</v>
      </c>
      <c r="AH63" s="18">
        <f t="shared" ca="1" si="21"/>
        <v>0.51</v>
      </c>
      <c r="AI63" s="1"/>
      <c r="AJ63" s="1">
        <f ca="1">MIN(V33,X33)</f>
        <v>17779521.348526847</v>
      </c>
      <c r="AK63" s="1">
        <f ca="1">X33-AJ63</f>
        <v>0</v>
      </c>
      <c r="AL63" s="1">
        <f ca="1">V33-AJ63</f>
        <v>1037512.6514731534</v>
      </c>
      <c r="AM63" s="1"/>
      <c r="AN63" s="1"/>
      <c r="AO63" s="1"/>
    </row>
    <row r="64" spans="1:41" x14ac:dyDescent="0.25">
      <c r="A64" s="94">
        <f t="shared" ca="1" si="22"/>
        <v>62</v>
      </c>
      <c r="B64" s="95">
        <v>68</v>
      </c>
      <c r="C64">
        <f>MATCH(B64,Inputs!$A$4:$A$81,0)</f>
        <v>61</v>
      </c>
      <c r="D64" t="str">
        <f>INDEX(Inputs!$A$4:$AD$81,Model!$C64,D$90)</f>
        <v>Dunedin City</v>
      </c>
      <c r="E64">
        <f ca="1">INDEX(Inputs!$A$4:$AD$81,Model!$C64,E$90)</f>
        <v>53811</v>
      </c>
      <c r="F64">
        <f>INDEX(Inputs!$A$4:$AD$81,Model!$C64,F$90)</f>
        <v>991.00715712804435</v>
      </c>
      <c r="G64">
        <f ca="1">INDEX(Inputs!$A$4:$AD$81,Model!$C64,G$90)</f>
        <v>7.8332203609821157E-8</v>
      </c>
      <c r="H64" s="10">
        <f t="shared" ca="1" si="23"/>
        <v>0.15653559211275508</v>
      </c>
      <c r="I64" s="14">
        <f t="shared" si="24"/>
        <v>-0.27366403267581568</v>
      </c>
      <c r="J64" s="14">
        <f t="shared" ca="1" si="25"/>
        <v>-0.4760838553339648</v>
      </c>
      <c r="K64" s="10">
        <f t="shared" ca="1" si="26"/>
        <v>6.4545879299758182</v>
      </c>
      <c r="L64" s="14">
        <f t="shared" si="27"/>
        <v>1.6938814196116838</v>
      </c>
      <c r="M64" s="14">
        <f t="shared" ca="1" si="28"/>
        <v>0.41828008022274243</v>
      </c>
      <c r="N64" s="14">
        <f t="shared" ca="1" si="29"/>
        <v>8.566749429810244</v>
      </c>
      <c r="O64" s="14">
        <f t="shared" ca="1" si="14"/>
        <v>0.4681689412928372</v>
      </c>
      <c r="P64" s="11">
        <f t="shared" ca="1" si="15"/>
        <v>-0.70634521140903317</v>
      </c>
      <c r="S64" s="26">
        <f t="shared" ca="1" si="30"/>
        <v>0.51</v>
      </c>
      <c r="T64" s="18">
        <f ca="1">INDEX(Inputs!BU$4:BU$81,Model!$C64)</f>
        <v>0.51</v>
      </c>
      <c r="U64" s="10">
        <f>INDEX(Inputs!Z$4:Z$81,Model!$C64)</f>
        <v>123795823</v>
      </c>
      <c r="V64" s="14">
        <f>INDEX(Inputs!AA$4:AA$81,Model!$C64)</f>
        <v>72772359</v>
      </c>
      <c r="W64" s="11">
        <f>INDEX(Inputs!AB$4:AB$81,Model!$C64)</f>
        <v>51023464</v>
      </c>
      <c r="X64" s="10">
        <f t="shared" ca="1" si="31"/>
        <v>63135869.730000004</v>
      </c>
      <c r="Y64" s="14">
        <f t="shared" ca="1" si="32"/>
        <v>60659953.269999996</v>
      </c>
      <c r="Z64" s="14">
        <f t="shared" ca="1" si="33"/>
        <v>-9636489.2699999958</v>
      </c>
      <c r="AA64" s="11">
        <f t="shared" ca="1" si="34"/>
        <v>9636489.2699999958</v>
      </c>
      <c r="AB64" s="33">
        <f t="shared" ca="1" si="16"/>
        <v>-0.13241963573009907</v>
      </c>
      <c r="AC64" s="34">
        <f t="shared" ca="1" si="17"/>
        <v>0.1888638778033572</v>
      </c>
      <c r="AD64" s="26">
        <f t="shared" ca="1" si="18"/>
        <v>1.0651713215767329</v>
      </c>
      <c r="AE64" s="18">
        <f t="shared" ca="1" si="19"/>
        <v>1.0651713215767329</v>
      </c>
      <c r="AF64" s="10" t="str">
        <f t="shared" si="35"/>
        <v>Dunedin City</v>
      </c>
      <c r="AG64" s="42">
        <f t="shared" ca="1" si="20"/>
        <v>0.51</v>
      </c>
      <c r="AH64" s="18">
        <f t="shared" ca="1" si="21"/>
        <v>0.51</v>
      </c>
      <c r="AI64" s="1"/>
      <c r="AJ64" s="1"/>
      <c r="AK64" s="1"/>
      <c r="AL64" s="1"/>
      <c r="AM64" s="1">
        <f ca="1">MIN(W33,Y33)</f>
        <v>13514243</v>
      </c>
      <c r="AN64" s="1">
        <f ca="1">Y33-AM64</f>
        <v>1037512.6514731534</v>
      </c>
      <c r="AO64" s="1">
        <f ca="1">W33-AM64</f>
        <v>0</v>
      </c>
    </row>
    <row r="65" spans="1:41" x14ac:dyDescent="0.25">
      <c r="A65" s="94">
        <f t="shared" ca="1" si="22"/>
        <v>63</v>
      </c>
      <c r="B65" s="95">
        <v>48</v>
      </c>
      <c r="C65">
        <f>MATCH(B65,Inputs!$A$4:$A$81,0)</f>
        <v>42</v>
      </c>
      <c r="D65" t="str">
        <f>INDEX(Inputs!$A$4:$AD$81,Model!$C65,D$90)</f>
        <v>Upper Hutt City</v>
      </c>
      <c r="E65">
        <f ca="1">INDEX(Inputs!$A$4:$AD$81,Model!$C65,E$90)</f>
        <v>16619</v>
      </c>
      <c r="F65">
        <f>INDEX(Inputs!$A$4:$AD$81,Model!$C65,F$90)</f>
        <v>976.87231214324811</v>
      </c>
      <c r="G65">
        <f ca="1">INDEX(Inputs!$A$4:$AD$81,Model!$C65,G$90)</f>
        <v>3.0344813276849306E-8</v>
      </c>
      <c r="H65" s="10">
        <f t="shared" ca="1" si="23"/>
        <v>-0.34111263284285237</v>
      </c>
      <c r="I65" s="14">
        <f t="shared" si="24"/>
        <v>-0.61119828664786957</v>
      </c>
      <c r="J65" s="14">
        <f t="shared" ca="1" si="25"/>
        <v>-0.77443112312285844</v>
      </c>
      <c r="K65" s="10">
        <f t="shared" ca="1" si="26"/>
        <v>6.952236154931426</v>
      </c>
      <c r="L65" s="14">
        <f t="shared" si="27"/>
        <v>1.35634716563963</v>
      </c>
      <c r="M65" s="14">
        <f t="shared" ca="1" si="28"/>
        <v>0.11993281243384879</v>
      </c>
      <c r="N65" s="14">
        <f t="shared" ca="1" si="29"/>
        <v>8.428516133004905</v>
      </c>
      <c r="O65" s="14">
        <f t="shared" ca="1" si="14"/>
        <v>0.4585179077635988</v>
      </c>
      <c r="P65" s="11">
        <f t="shared" ca="1" si="15"/>
        <v>-0.84457850821437219</v>
      </c>
      <c r="S65" s="26">
        <f t="shared" ca="1" si="30"/>
        <v>0.51</v>
      </c>
      <c r="T65" s="18">
        <f ca="1">INDEX(Inputs!BU$4:BU$81,Model!$C65)</f>
        <v>0.51</v>
      </c>
      <c r="U65" s="10">
        <f>INDEX(Inputs!Z$4:Z$81,Model!$C65)</f>
        <v>20866182</v>
      </c>
      <c r="V65" s="14">
        <f>INDEX(Inputs!AA$4:AA$81,Model!$C65)</f>
        <v>10236002</v>
      </c>
      <c r="W65" s="11">
        <f>INDEX(Inputs!AB$4:AB$81,Model!$C65)</f>
        <v>10630180</v>
      </c>
      <c r="X65" s="10">
        <f t="shared" ca="1" si="31"/>
        <v>10641752.82</v>
      </c>
      <c r="Y65" s="14">
        <f t="shared" ca="1" si="32"/>
        <v>10224429.18</v>
      </c>
      <c r="Z65" s="14">
        <f t="shared" ca="1" si="33"/>
        <v>405750.8200000003</v>
      </c>
      <c r="AA65" s="11">
        <f t="shared" ca="1" si="34"/>
        <v>-405750.8200000003</v>
      </c>
      <c r="AB65" s="33">
        <f t="shared" ca="1" si="16"/>
        <v>3.9639579984450987E-2</v>
      </c>
      <c r="AC65" s="34">
        <f t="shared" ca="1" si="17"/>
        <v>-3.8169703617436421E-2</v>
      </c>
      <c r="AD65" s="26">
        <f t="shared" ca="1" si="18"/>
        <v>-4.4849750262861407E-2</v>
      </c>
      <c r="AE65" s="18">
        <f t="shared" ca="1" si="19"/>
        <v>-4.4849750262861407E-2</v>
      </c>
      <c r="AF65" s="10" t="str">
        <f t="shared" si="35"/>
        <v>Upper Hutt City</v>
      </c>
      <c r="AG65" s="42">
        <f t="shared" ca="1" si="20"/>
        <v>0.51</v>
      </c>
      <c r="AH65" s="18">
        <f t="shared" ca="1" si="21"/>
        <v>0.51</v>
      </c>
      <c r="AI65" s="1"/>
      <c r="AJ65" s="1">
        <f ca="1">MIN(V34,X34)</f>
        <v>40519442</v>
      </c>
      <c r="AK65" s="1">
        <f ca="1">X34-AJ65</f>
        <v>126777.98077926785</v>
      </c>
      <c r="AL65" s="1">
        <f ca="1">V34-AJ65</f>
        <v>0</v>
      </c>
      <c r="AM65" s="1"/>
      <c r="AN65" s="1"/>
      <c r="AO65" s="1"/>
    </row>
    <row r="66" spans="1:41" x14ac:dyDescent="0.25">
      <c r="A66" s="94">
        <f t="shared" ca="1" si="22"/>
        <v>64</v>
      </c>
      <c r="B66" s="95">
        <v>51</v>
      </c>
      <c r="C66">
        <f>MATCH(B66,Inputs!$A$4:$A$81,0)</f>
        <v>45</v>
      </c>
      <c r="D66" t="str">
        <f>INDEX(Inputs!$A$4:$AD$81,Model!$C66,D$90)</f>
        <v>Marlborough District</v>
      </c>
      <c r="E66">
        <f ca="1">INDEX(Inputs!$A$4:$AD$81,Model!$C66,E$90)</f>
        <v>26261</v>
      </c>
      <c r="F66">
        <f>INDEX(Inputs!$A$4:$AD$81,Model!$C66,F$90)</f>
        <v>965.17406912085596</v>
      </c>
      <c r="G66">
        <f ca="1">INDEX(Inputs!$A$4:$AD$81,Model!$C66,G$90)</f>
        <v>9.119416586026501E-8</v>
      </c>
      <c r="H66" s="10">
        <f t="shared" ca="1" si="23"/>
        <v>-0.21209767841657881</v>
      </c>
      <c r="I66" s="14">
        <f t="shared" si="24"/>
        <v>-0.89054749320755078</v>
      </c>
      <c r="J66" s="14">
        <f t="shared" ca="1" si="25"/>
        <v>-0.39611844631302023</v>
      </c>
      <c r="K66" s="10">
        <f t="shared" ca="1" si="26"/>
        <v>6.8232212005051522</v>
      </c>
      <c r="L66" s="14">
        <f t="shared" si="27"/>
        <v>1.0769979590799488</v>
      </c>
      <c r="M66" s="14">
        <f t="shared" ca="1" si="28"/>
        <v>0.498245489243687</v>
      </c>
      <c r="N66" s="14">
        <f t="shared" ca="1" si="29"/>
        <v>8.3984646488287868</v>
      </c>
      <c r="O66" s="14">
        <f t="shared" ca="1" si="14"/>
        <v>0.45641980341327348</v>
      </c>
      <c r="P66" s="11">
        <f t="shared" ca="1" si="15"/>
        <v>-0.87462999239049033</v>
      </c>
      <c r="S66" s="26">
        <f t="shared" ca="1" si="30"/>
        <v>0.51</v>
      </c>
      <c r="T66" s="18">
        <f ca="1">INDEX(Inputs!BU$4:BU$81,Model!$C66)</f>
        <v>0.51</v>
      </c>
      <c r="U66" s="10">
        <f>INDEX(Inputs!Z$4:Z$81,Model!$C66)</f>
        <v>42840530</v>
      </c>
      <c r="V66" s="14">
        <f>INDEX(Inputs!AA$4:AA$81,Model!$C66)</f>
        <v>20784308</v>
      </c>
      <c r="W66" s="11">
        <f>INDEX(Inputs!AB$4:AB$81,Model!$C66)</f>
        <v>22056222</v>
      </c>
      <c r="X66" s="10">
        <f t="shared" ca="1" si="31"/>
        <v>21848670.300000001</v>
      </c>
      <c r="Y66" s="14">
        <f t="shared" ca="1" si="32"/>
        <v>20991859.699999999</v>
      </c>
      <c r="Z66" s="14">
        <f t="shared" ca="1" si="33"/>
        <v>1064362.3000000007</v>
      </c>
      <c r="AA66" s="11">
        <f t="shared" ca="1" si="34"/>
        <v>-1064362.3000000007</v>
      </c>
      <c r="AB66" s="33">
        <f t="shared" ca="1" si="16"/>
        <v>5.1209898352160714E-2</v>
      </c>
      <c r="AC66" s="34">
        <f t="shared" ca="1" si="17"/>
        <v>-4.8256782145192439E-2</v>
      </c>
      <c r="AD66" s="26">
        <f t="shared" ca="1" si="18"/>
        <v>-0.11764950553693217</v>
      </c>
      <c r="AE66" s="18">
        <f t="shared" ca="1" si="19"/>
        <v>-0.11764950553693217</v>
      </c>
      <c r="AF66" s="10" t="str">
        <f t="shared" si="35"/>
        <v>Marlborough District</v>
      </c>
      <c r="AG66" s="42">
        <f t="shared" ca="1" si="20"/>
        <v>0.51</v>
      </c>
      <c r="AH66" s="18">
        <f t="shared" ca="1" si="21"/>
        <v>0.51</v>
      </c>
      <c r="AI66" s="1"/>
      <c r="AJ66" s="1"/>
      <c r="AK66" s="1"/>
      <c r="AL66" s="1"/>
      <c r="AM66" s="1">
        <f ca="1">MIN(W34,Y34)</f>
        <v>35104528.019220732</v>
      </c>
      <c r="AN66" s="1">
        <f ca="1">Y34-AM66</f>
        <v>0</v>
      </c>
      <c r="AO66" s="1">
        <f ca="1">W34-AM66</f>
        <v>126777.98077926785</v>
      </c>
    </row>
    <row r="67" spans="1:41" x14ac:dyDescent="0.25">
      <c r="A67" s="94">
        <f t="shared" ref="A67:A80" ca="1" si="36">RANK(P67,P$3:P$80,0)</f>
        <v>65</v>
      </c>
      <c r="B67" s="95">
        <v>19</v>
      </c>
      <c r="C67">
        <f>MATCH(B67,Inputs!$A$4:$A$81,0)</f>
        <v>13</v>
      </c>
      <c r="D67" t="str">
        <f>INDEX(Inputs!$A$4:$AD$81,Model!$C67,D$90)</f>
        <v>Waipa District</v>
      </c>
      <c r="E67">
        <f ca="1">INDEX(Inputs!$A$4:$AD$81,Model!$C67,E$90)</f>
        <v>20920</v>
      </c>
      <c r="F67">
        <f>INDEX(Inputs!$A$4:$AD$81,Model!$C67,F$90)</f>
        <v>965.15568691688622</v>
      </c>
      <c r="G67">
        <f ca="1">INDEX(Inputs!$A$4:$AD$81,Model!$C67,G$90)</f>
        <v>6.5456148756035729E-8</v>
      </c>
      <c r="H67" s="10">
        <f t="shared" ref="H67:H80" ca="1" si="37">STANDARDIZE(E67,E$87,E$88)</f>
        <v>-0.28356302498271935</v>
      </c>
      <c r="I67" s="14">
        <f t="shared" ref="I67:I80" si="38">STANDARDIZE(F67,F$87,F$88)</f>
        <v>-0.89098645263794851</v>
      </c>
      <c r="J67" s="14">
        <f t="shared" ref="J67:J80" ca="1" si="39">STANDARDIZE(G67,G$87,G$88)</f>
        <v>-0.55613688090737901</v>
      </c>
      <c r="K67" s="10">
        <f t="shared" ref="K67:K80" ca="1" si="40">IF(E$91=0,0,E$92*IF(E$91&lt;0,H67-H$82,H$83-H67))</f>
        <v>6.8946865470712924</v>
      </c>
      <c r="L67" s="14">
        <f t="shared" ref="L67:L80" si="41">IF(F$91=0,0,F$92*IF(F$91&lt;0,I67-I$82,I$83-I67))</f>
        <v>1.076558999649551</v>
      </c>
      <c r="M67" s="14">
        <f t="shared" ref="M67:M80" ca="1" si="42">IF(G$91=0,0,G$92*IF(G$91&lt;0,J67-J$82,J$83-J67))</f>
        <v>0.33822705464932823</v>
      </c>
      <c r="N67" s="14">
        <f t="shared" ref="N67:N80" ca="1" si="43">SUM(K67:M67)</f>
        <v>8.309472601370171</v>
      </c>
      <c r="O67" s="14">
        <f t="shared" ca="1" si="14"/>
        <v>0.45020664599239435</v>
      </c>
      <c r="P67" s="11">
        <f t="shared" ca="1" si="15"/>
        <v>-0.96362203984910622</v>
      </c>
      <c r="S67" s="26">
        <f t="shared" ref="S67:S80" ca="1" si="44">MAX(IF(B67=74,$R$11,$R$12),MIN($R$10,$R$12+$R$15*P67))</f>
        <v>0.51</v>
      </c>
      <c r="T67" s="18">
        <f ca="1">INDEX(Inputs!BU$4:BU$81,Model!$C67)</f>
        <v>0.51</v>
      </c>
      <c r="U67" s="10">
        <f>INDEX(Inputs!Z$4:Z$81,Model!$C67)</f>
        <v>52209468</v>
      </c>
      <c r="V67" s="14">
        <f>INDEX(Inputs!AA$4:AA$81,Model!$C67)</f>
        <v>25837287</v>
      </c>
      <c r="W67" s="11">
        <f>INDEX(Inputs!AB$4:AB$81,Model!$C67)</f>
        <v>26372181</v>
      </c>
      <c r="X67" s="10">
        <f t="shared" ref="X67:X80" ca="1" si="45">U67*S67</f>
        <v>26626828.68</v>
      </c>
      <c r="Y67" s="14">
        <f t="shared" ref="Y67:Y80" ca="1" si="46">U67-X67</f>
        <v>25582639.32</v>
      </c>
      <c r="Z67" s="14">
        <f t="shared" ref="Z67:Z80" ca="1" si="47">X67-V67</f>
        <v>789541.6799999997</v>
      </c>
      <c r="AA67" s="11">
        <f t="shared" ref="AA67:AA80" ca="1" si="48">Y67-W67</f>
        <v>-789541.6799999997</v>
      </c>
      <c r="AB67" s="33">
        <f t="shared" ca="1" si="16"/>
        <v>3.0558226953162678E-2</v>
      </c>
      <c r="AC67" s="34">
        <f t="shared" ca="1" si="17"/>
        <v>-2.9938429438202314E-2</v>
      </c>
      <c r="AD67" s="26">
        <f t="shared" ca="1" si="18"/>
        <v>-8.7272151834764E-2</v>
      </c>
      <c r="AE67" s="18">
        <f t="shared" ca="1" si="19"/>
        <v>-8.7272151834764E-2</v>
      </c>
      <c r="AF67" s="10" t="str">
        <f t="shared" ref="AF67:AF81" si="49">D67</f>
        <v>Waipa District</v>
      </c>
      <c r="AG67" s="42">
        <f t="shared" ca="1" si="20"/>
        <v>0.51</v>
      </c>
      <c r="AH67" s="18">
        <f t="shared" ca="1" si="21"/>
        <v>0.51</v>
      </c>
      <c r="AI67" s="1"/>
      <c r="AJ67" s="1">
        <f ca="1">MIN(V35,X35)</f>
        <v>2782756.5920784525</v>
      </c>
      <c r="AK67" s="1">
        <f ca="1">X35-AJ67</f>
        <v>0</v>
      </c>
      <c r="AL67" s="1">
        <f ca="1">V35-AJ67</f>
        <v>150210.40792154754</v>
      </c>
      <c r="AM67" s="1"/>
      <c r="AN67" s="1"/>
      <c r="AO67" s="1"/>
    </row>
    <row r="68" spans="1:41" x14ac:dyDescent="0.25">
      <c r="A68" s="94">
        <f t="shared" ca="1" si="36"/>
        <v>66</v>
      </c>
      <c r="B68" s="95">
        <v>24</v>
      </c>
      <c r="C68">
        <f>MATCH(B68,Inputs!$A$4:$A$81,0)</f>
        <v>18</v>
      </c>
      <c r="D68" t="str">
        <f>INDEX(Inputs!$A$4:$AD$81,Model!$C68,D$90)</f>
        <v>Tauranga City</v>
      </c>
      <c r="E68">
        <f ca="1">INDEX(Inputs!$A$4:$AD$81,Model!$C68,E$90)</f>
        <v>54459</v>
      </c>
      <c r="F68">
        <f>INDEX(Inputs!$A$4:$AD$81,Model!$C68,F$90)</f>
        <v>990.17989647494289</v>
      </c>
      <c r="G68">
        <f ca="1">INDEX(Inputs!$A$4:$AD$81,Model!$C68,G$90)</f>
        <v>1.2661176806733475E-8</v>
      </c>
      <c r="H68" s="10">
        <f t="shared" ca="1" si="37"/>
        <v>0.16520616776803668</v>
      </c>
      <c r="I68" s="14">
        <f t="shared" si="38"/>
        <v>-0.29341867502848251</v>
      </c>
      <c r="J68" s="14">
        <f t="shared" ca="1" si="39"/>
        <v>-0.88437385159430204</v>
      </c>
      <c r="K68" s="10">
        <f t="shared" ca="1" si="40"/>
        <v>6.445917354320537</v>
      </c>
      <c r="L68" s="14">
        <f t="shared" si="41"/>
        <v>1.6741267772590169</v>
      </c>
      <c r="M68" s="14">
        <f t="shared" ca="1" si="42"/>
        <v>9.990083962405194E-3</v>
      </c>
      <c r="N68" s="14">
        <f t="shared" ca="1" si="43"/>
        <v>8.1300342155419596</v>
      </c>
      <c r="O68" s="14">
        <f t="shared" ref="O68:O80" ca="1" si="50">(N68-N$82)/N$84</f>
        <v>0.43767879692793071</v>
      </c>
      <c r="P68" s="11">
        <f t="shared" ref="P68:P80" ca="1" si="51">N68-N$85</f>
        <v>-1.1430604256773176</v>
      </c>
      <c r="S68" s="26">
        <f t="shared" ca="1" si="44"/>
        <v>0.51</v>
      </c>
      <c r="T68" s="18">
        <f ca="1">INDEX(Inputs!BU$4:BU$81,Model!$C68)</f>
        <v>0.51</v>
      </c>
      <c r="U68" s="10">
        <f>INDEX(Inputs!Z$4:Z$81,Model!$C68)</f>
        <v>61157001</v>
      </c>
      <c r="V68" s="14">
        <f>INDEX(Inputs!AA$4:AA$81,Model!$C68)</f>
        <v>28532193</v>
      </c>
      <c r="W68" s="11">
        <f>INDEX(Inputs!AB$4:AB$81,Model!$C68)</f>
        <v>32624808</v>
      </c>
      <c r="X68" s="10">
        <f t="shared" ca="1" si="45"/>
        <v>31190070.510000002</v>
      </c>
      <c r="Y68" s="14">
        <f t="shared" ca="1" si="46"/>
        <v>29966930.489999998</v>
      </c>
      <c r="Z68" s="14">
        <f t="shared" ca="1" si="47"/>
        <v>2657877.5100000016</v>
      </c>
      <c r="AA68" s="11">
        <f t="shared" ca="1" si="48"/>
        <v>-2657877.5100000016</v>
      </c>
      <c r="AB68" s="33">
        <f t="shared" ref="AB68:AB81" ca="1" si="52">Z68/V68</f>
        <v>9.3153635614339272E-2</v>
      </c>
      <c r="AC68" s="34">
        <f t="shared" ref="AC68:AC81" ca="1" si="53">AA68/W68</f>
        <v>-8.1467989328856794E-2</v>
      </c>
      <c r="AD68" s="26">
        <f t="shared" ref="AD68:AD81" ca="1" si="54">Z68/Z$81</f>
        <v>-0.29378903671168405</v>
      </c>
      <c r="AE68" s="18">
        <f t="shared" ref="AE68:AE81" ca="1" si="55">AA68/AA$81</f>
        <v>-0.29378903671168405</v>
      </c>
      <c r="AF68" s="10" t="str">
        <f t="shared" si="49"/>
        <v>Tauranga City</v>
      </c>
      <c r="AG68" s="42">
        <f t="shared" ref="AG68:AG81" ca="1" si="56">ROUND(T68,2)</f>
        <v>0.51</v>
      </c>
      <c r="AH68" s="18">
        <f t="shared" ref="AH68:AH81" ca="1" si="57">ROUND(S68,2)</f>
        <v>0.51</v>
      </c>
      <c r="AI68" s="1"/>
      <c r="AJ68" s="1"/>
      <c r="AK68" s="1"/>
      <c r="AL68" s="1"/>
      <c r="AM68" s="1">
        <f ca="1">MIN(W35,Y35)</f>
        <v>2275200</v>
      </c>
      <c r="AN68" s="1">
        <f ca="1">Y35-AM68</f>
        <v>150210.40792154754</v>
      </c>
      <c r="AO68" s="1">
        <f ca="1">W35-AM68</f>
        <v>0</v>
      </c>
    </row>
    <row r="69" spans="1:41" x14ac:dyDescent="0.25">
      <c r="A69" s="94">
        <f t="shared" ca="1" si="36"/>
        <v>67</v>
      </c>
      <c r="B69" s="95">
        <v>61</v>
      </c>
      <c r="C69">
        <f>MATCH(B69,Inputs!$A$4:$A$81,0)</f>
        <v>54</v>
      </c>
      <c r="D69" t="str">
        <f>INDEX(Inputs!$A$4:$AD$81,Model!$C69,D$90)</f>
        <v>Waimakariri District</v>
      </c>
      <c r="E69">
        <f ca="1">INDEX(Inputs!$A$4:$AD$81,Model!$C69,E$90)</f>
        <v>24929</v>
      </c>
      <c r="F69">
        <f>INDEX(Inputs!$A$4:$AD$81,Model!$C69,F$90)</f>
        <v>946.69026107988907</v>
      </c>
      <c r="G69">
        <f ca="1">INDEX(Inputs!$A$4:$AD$81,Model!$C69,G$90)</f>
        <v>1.0048363555309256E-7</v>
      </c>
      <c r="H69" s="10">
        <f t="shared" ca="1" si="37"/>
        <v>-0.22992052837465768</v>
      </c>
      <c r="I69" s="14">
        <f t="shared" si="38"/>
        <v>-1.3319331868165809</v>
      </c>
      <c r="J69" s="14">
        <f t="shared" ca="1" si="39"/>
        <v>-0.33836394283133042</v>
      </c>
      <c r="K69" s="10">
        <f t="shared" ca="1" si="40"/>
        <v>6.8410440504632311</v>
      </c>
      <c r="L69" s="14">
        <f t="shared" si="41"/>
        <v>0.63561226547091865</v>
      </c>
      <c r="M69" s="14">
        <f t="shared" ca="1" si="42"/>
        <v>0.55599999272537681</v>
      </c>
      <c r="N69" s="14">
        <f t="shared" ca="1" si="43"/>
        <v>8.0326563086595275</v>
      </c>
      <c r="O69" s="14">
        <f t="shared" ca="1" si="50"/>
        <v>0.43088016399325624</v>
      </c>
      <c r="P69" s="11">
        <f t="shared" ca="1" si="51"/>
        <v>-1.2404383325597497</v>
      </c>
      <c r="S69" s="26">
        <f t="shared" ca="1" si="44"/>
        <v>0.51</v>
      </c>
      <c r="T69" s="18">
        <f ca="1">INDEX(Inputs!BU$4:BU$81,Model!$C69)</f>
        <v>0.51</v>
      </c>
      <c r="U69" s="10">
        <f>INDEX(Inputs!Z$4:Z$81,Model!$C69)</f>
        <v>34746540</v>
      </c>
      <c r="V69" s="14">
        <f>INDEX(Inputs!AA$4:AA$81,Model!$C69)</f>
        <v>17541998</v>
      </c>
      <c r="W69" s="11">
        <f>INDEX(Inputs!AB$4:AB$81,Model!$C69)</f>
        <v>17204542</v>
      </c>
      <c r="X69" s="10">
        <f t="shared" ca="1" si="45"/>
        <v>17720735.399999999</v>
      </c>
      <c r="Y69" s="14">
        <f t="shared" ca="1" si="46"/>
        <v>17025804.600000001</v>
      </c>
      <c r="Z69" s="14">
        <f t="shared" ca="1" si="47"/>
        <v>178737.39999999851</v>
      </c>
      <c r="AA69" s="11">
        <f t="shared" ca="1" si="48"/>
        <v>-178737.39999999851</v>
      </c>
      <c r="AB69" s="33">
        <f t="shared" ca="1" si="52"/>
        <v>1.0189113007537597E-2</v>
      </c>
      <c r="AC69" s="34">
        <f t="shared" ca="1" si="53"/>
        <v>-1.0388965890518824E-2</v>
      </c>
      <c r="AD69" s="26">
        <f t="shared" ca="1" si="54"/>
        <v>-1.9756775236173498E-2</v>
      </c>
      <c r="AE69" s="18">
        <f t="shared" ca="1" si="55"/>
        <v>-1.9756775236173498E-2</v>
      </c>
      <c r="AF69" s="10" t="str">
        <f t="shared" si="49"/>
        <v>Waimakariri District</v>
      </c>
      <c r="AG69" s="42">
        <f t="shared" ca="1" si="56"/>
        <v>0.51</v>
      </c>
      <c r="AH69" s="18">
        <f t="shared" ca="1" si="57"/>
        <v>0.51</v>
      </c>
      <c r="AI69" s="1"/>
      <c r="AJ69" s="1">
        <f ca="1">MIN(V36,X36)</f>
        <v>61412824.816657566</v>
      </c>
      <c r="AK69" s="1">
        <f ca="1">X36-AJ69</f>
        <v>0</v>
      </c>
      <c r="AL69" s="1">
        <f ca="1">V36-AJ69</f>
        <v>1057145.1833424345</v>
      </c>
      <c r="AM69" s="1"/>
      <c r="AN69" s="1"/>
      <c r="AO69" s="1"/>
    </row>
    <row r="70" spans="1:41" x14ac:dyDescent="0.25">
      <c r="A70" s="94">
        <f t="shared" ca="1" si="36"/>
        <v>68</v>
      </c>
      <c r="B70" s="95">
        <v>43</v>
      </c>
      <c r="C70">
        <f>MATCH(B70,Inputs!$A$4:$A$81,0)</f>
        <v>37</v>
      </c>
      <c r="D70" t="str">
        <f>INDEX(Inputs!$A$4:$AD$81,Model!$C70,D$90)</f>
        <v>Kapiti Coast District</v>
      </c>
      <c r="E70">
        <f ca="1">INDEX(Inputs!$A$4:$AD$81,Model!$C70,E$90)</f>
        <v>24623</v>
      </c>
      <c r="F70">
        <f>INDEX(Inputs!$A$4:$AD$81,Model!$C70,F$90)</f>
        <v>959.55491178959699</v>
      </c>
      <c r="G70">
        <f ca="1">INDEX(Inputs!$A$4:$AD$81,Model!$C70,G$90)</f>
        <v>3.0985081746153869E-8</v>
      </c>
      <c r="H70" s="10">
        <f t="shared" ca="1" si="37"/>
        <v>-0.23401496687854065</v>
      </c>
      <c r="I70" s="14">
        <f t="shared" si="38"/>
        <v>-1.0247306469526525</v>
      </c>
      <c r="J70" s="14">
        <f t="shared" ca="1" si="39"/>
        <v>-0.77045044513343375</v>
      </c>
      <c r="K70" s="10">
        <f t="shared" ca="1" si="40"/>
        <v>6.8451384889671143</v>
      </c>
      <c r="L70" s="14">
        <f t="shared" si="41"/>
        <v>0.94281480533484707</v>
      </c>
      <c r="M70" s="14">
        <f t="shared" ca="1" si="42"/>
        <v>0.12391349042327349</v>
      </c>
      <c r="N70" s="14">
        <f t="shared" ca="1" si="43"/>
        <v>7.9118667847252349</v>
      </c>
      <c r="O70" s="14">
        <f t="shared" ca="1" si="50"/>
        <v>0.42244700228466869</v>
      </c>
      <c r="P70" s="11">
        <f t="shared" ca="1" si="51"/>
        <v>-1.3612278564940423</v>
      </c>
      <c r="S70" s="26">
        <f t="shared" ca="1" si="44"/>
        <v>0.51</v>
      </c>
      <c r="T70" s="18">
        <f ca="1">INDEX(Inputs!BU$4:BU$81,Model!$C70)</f>
        <v>0.51</v>
      </c>
      <c r="U70" s="10">
        <f>INDEX(Inputs!Z$4:Z$81,Model!$C70)</f>
        <v>23301786</v>
      </c>
      <c r="V70" s="14">
        <f>INDEX(Inputs!AA$4:AA$81,Model!$C70)</f>
        <v>10683142.59</v>
      </c>
      <c r="W70" s="11">
        <f>INDEX(Inputs!AB$4:AB$81,Model!$C70)</f>
        <v>12618643.41</v>
      </c>
      <c r="X70" s="10">
        <f t="shared" ca="1" si="45"/>
        <v>11883910.859999999</v>
      </c>
      <c r="Y70" s="14">
        <f t="shared" ca="1" si="46"/>
        <v>11417875.140000001</v>
      </c>
      <c r="Z70" s="14">
        <f t="shared" ca="1" si="47"/>
        <v>1200768.2699999996</v>
      </c>
      <c r="AA70" s="11">
        <f t="shared" ca="1" si="48"/>
        <v>-1200768.2699999996</v>
      </c>
      <c r="AB70" s="33">
        <f t="shared" ca="1" si="52"/>
        <v>0.11239841272211266</v>
      </c>
      <c r="AC70" s="34">
        <f t="shared" ca="1" si="53"/>
        <v>-9.5158269473596249E-2</v>
      </c>
      <c r="AD70" s="26">
        <f t="shared" ca="1" si="54"/>
        <v>-0.13272716745974308</v>
      </c>
      <c r="AE70" s="18">
        <f t="shared" ca="1" si="55"/>
        <v>-0.13272716745974308</v>
      </c>
      <c r="AF70" s="10" t="str">
        <f t="shared" si="49"/>
        <v>Kapiti Coast District</v>
      </c>
      <c r="AG70" s="42">
        <f t="shared" ca="1" si="56"/>
        <v>0.51</v>
      </c>
      <c r="AH70" s="18">
        <f t="shared" ca="1" si="57"/>
        <v>0.51</v>
      </c>
      <c r="AI70" s="1"/>
      <c r="AJ70" s="1"/>
      <c r="AK70" s="1"/>
      <c r="AL70" s="1"/>
      <c r="AM70" s="1">
        <f ca="1">MIN(W36,Y36)</f>
        <v>54421838</v>
      </c>
      <c r="AN70" s="1">
        <f ca="1">Y36-AM70</f>
        <v>1057145.1833424345</v>
      </c>
      <c r="AO70" s="1">
        <f ca="1">W36-AM70</f>
        <v>0</v>
      </c>
    </row>
    <row r="71" spans="1:41" x14ac:dyDescent="0.25">
      <c r="A71" s="94">
        <f t="shared" ca="1" si="36"/>
        <v>69</v>
      </c>
      <c r="B71" s="95">
        <v>84</v>
      </c>
      <c r="C71">
        <f>MATCH(B71,Inputs!$A$4:$A$81,0)</f>
        <v>70</v>
      </c>
      <c r="D71" t="str">
        <f>INDEX(Inputs!$A$4:$AD$81,Model!$C71,D$90)</f>
        <v>Bay of Plenty Regional</v>
      </c>
      <c r="E71">
        <f ca="1">INDEX(Inputs!$A$4:$AD$81,Model!$C71,E$90)</f>
        <v>131192</v>
      </c>
      <c r="F71">
        <f>INDEX(Inputs!$A$4:$AD$81,Model!$C71,F$90)</f>
        <v>1014.0994240305541</v>
      </c>
      <c r="G71">
        <f ca="1">INDEX(Inputs!$A$4:$AD$81,Model!$C71,G$90)</f>
        <v>4.3663747079222782E-8</v>
      </c>
      <c r="H71" s="10">
        <f t="shared" ca="1" si="37"/>
        <v>1.1919334544296474</v>
      </c>
      <c r="I71" s="14">
        <f t="shared" si="38"/>
        <v>0.2777697531100245</v>
      </c>
      <c r="J71" s="14">
        <f t="shared" ca="1" si="39"/>
        <v>-0.69162462995398566</v>
      </c>
      <c r="K71" s="10">
        <f t="shared" ca="1" si="40"/>
        <v>5.419190067658926</v>
      </c>
      <c r="L71" s="14">
        <f t="shared" si="41"/>
        <v>2.245315205397524</v>
      </c>
      <c r="M71" s="14">
        <f t="shared" ca="1" si="42"/>
        <v>0.20273930560272158</v>
      </c>
      <c r="N71" s="14">
        <f t="shared" ca="1" si="43"/>
        <v>7.8672445786591716</v>
      </c>
      <c r="O71" s="14">
        <f t="shared" ca="1" si="50"/>
        <v>0.41933161390252943</v>
      </c>
      <c r="P71" s="11">
        <f t="shared" ca="1" si="51"/>
        <v>-1.4058500625601056</v>
      </c>
      <c r="S71" s="26">
        <f t="shared" ca="1" si="44"/>
        <v>0.51</v>
      </c>
      <c r="T71" s="18">
        <f ca="1">INDEX(Inputs!BU$4:BU$81,Model!$C71)</f>
        <v>0.51</v>
      </c>
      <c r="U71" s="10">
        <f>INDEX(Inputs!Z$4:Z$81,Model!$C71)</f>
        <v>39897444</v>
      </c>
      <c r="V71" s="14">
        <f>INDEX(Inputs!AA$4:AA$81,Model!$C71)</f>
        <v>21054376</v>
      </c>
      <c r="W71" s="11">
        <f>INDEX(Inputs!AB$4:AB$81,Model!$C71)</f>
        <v>18843068</v>
      </c>
      <c r="X71" s="10">
        <f t="shared" ca="1" si="45"/>
        <v>20347696.440000001</v>
      </c>
      <c r="Y71" s="14">
        <f t="shared" ca="1" si="46"/>
        <v>19549747.559999999</v>
      </c>
      <c r="Z71" s="14">
        <f t="shared" ca="1" si="47"/>
        <v>-706679.55999999866</v>
      </c>
      <c r="AA71" s="11">
        <f t="shared" ca="1" si="48"/>
        <v>706679.55999999866</v>
      </c>
      <c r="AB71" s="33">
        <f t="shared" ca="1" si="52"/>
        <v>-3.3564497945700156E-2</v>
      </c>
      <c r="AC71" s="34">
        <f t="shared" ca="1" si="53"/>
        <v>3.7503423540158037E-2</v>
      </c>
      <c r="AD71" s="26">
        <f t="shared" ca="1" si="54"/>
        <v>7.8112970373956855E-2</v>
      </c>
      <c r="AE71" s="18">
        <f t="shared" ca="1" si="55"/>
        <v>7.8112970373956855E-2</v>
      </c>
      <c r="AF71" s="10" t="str">
        <f t="shared" si="49"/>
        <v>Bay of Plenty Regional</v>
      </c>
      <c r="AG71" s="42">
        <f t="shared" ca="1" si="56"/>
        <v>0.51</v>
      </c>
      <c r="AH71" s="18">
        <f t="shared" ca="1" si="57"/>
        <v>0.51</v>
      </c>
      <c r="AI71" s="1"/>
      <c r="AJ71" s="1">
        <f ca="1">MIN(V37,X37)</f>
        <v>21681364.934092715</v>
      </c>
      <c r="AK71" s="1">
        <f ca="1">X37-AJ71</f>
        <v>0</v>
      </c>
      <c r="AL71" s="1">
        <f ca="1">V37-AJ71</f>
        <v>204583.06590728462</v>
      </c>
      <c r="AM71" s="1"/>
      <c r="AN71" s="1"/>
      <c r="AO71" s="1"/>
    </row>
    <row r="72" spans="1:41" x14ac:dyDescent="0.25">
      <c r="A72" s="94">
        <f t="shared" ca="1" si="36"/>
        <v>70</v>
      </c>
      <c r="B72" s="95">
        <v>93</v>
      </c>
      <c r="C72">
        <f>MATCH(B72,Inputs!$A$4:$A$81,0)</f>
        <v>77</v>
      </c>
      <c r="D72" t="str">
        <f>INDEX(Inputs!$A$4:$AD$81,Model!$C72,D$90)</f>
        <v>Otago Regional</v>
      </c>
      <c r="E72">
        <f ca="1">INDEX(Inputs!$A$4:$AD$81,Model!$C72,E$90)</f>
        <v>116317</v>
      </c>
      <c r="F72">
        <f>INDEX(Inputs!$A$4:$AD$81,Model!$C72,F$90)</f>
        <v>976.16263883175645</v>
      </c>
      <c r="G72">
        <f ca="1">INDEX(Inputs!$A$4:$AD$81,Model!$C72,G$90)</f>
        <v>1.2281155687198046E-7</v>
      </c>
      <c r="H72" s="10">
        <f t="shared" ca="1" si="37"/>
        <v>0.99289824937978022</v>
      </c>
      <c r="I72" s="14">
        <f t="shared" si="38"/>
        <v>-0.62814499190115447</v>
      </c>
      <c r="J72" s="14">
        <f t="shared" ca="1" si="39"/>
        <v>-0.19954676034498595</v>
      </c>
      <c r="K72" s="10">
        <f t="shared" ca="1" si="40"/>
        <v>5.6182252727087931</v>
      </c>
      <c r="L72" s="14">
        <f t="shared" si="41"/>
        <v>1.339400460386345</v>
      </c>
      <c r="M72" s="14">
        <f t="shared" ca="1" si="42"/>
        <v>0.69481717521172126</v>
      </c>
      <c r="N72" s="14">
        <f t="shared" ca="1" si="43"/>
        <v>7.6524429083068597</v>
      </c>
      <c r="O72" s="14">
        <f t="shared" ca="1" si="50"/>
        <v>0.40433480654412662</v>
      </c>
      <c r="P72" s="11">
        <f t="shared" ca="1" si="51"/>
        <v>-1.6206517329124175</v>
      </c>
      <c r="S72" s="26">
        <f t="shared" ca="1" si="44"/>
        <v>0.51</v>
      </c>
      <c r="T72" s="18">
        <f ca="1">INDEX(Inputs!BU$4:BU$81,Model!$C72)</f>
        <v>0.51</v>
      </c>
      <c r="U72" s="10">
        <f>INDEX(Inputs!Z$4:Z$81,Model!$C72)</f>
        <v>30385740</v>
      </c>
      <c r="V72" s="14">
        <f>INDEX(Inputs!AA$4:AA$81,Model!$C72)</f>
        <v>16497282</v>
      </c>
      <c r="W72" s="11">
        <f>INDEX(Inputs!AB$4:AB$81,Model!$C72)</f>
        <v>13888458</v>
      </c>
      <c r="X72" s="10">
        <f t="shared" ca="1" si="45"/>
        <v>15496727.4</v>
      </c>
      <c r="Y72" s="14">
        <f t="shared" ca="1" si="46"/>
        <v>14889012.6</v>
      </c>
      <c r="Z72" s="14">
        <f t="shared" ca="1" si="47"/>
        <v>-1000554.5999999996</v>
      </c>
      <c r="AA72" s="11">
        <f t="shared" ca="1" si="48"/>
        <v>1000554.5999999996</v>
      </c>
      <c r="AB72" s="33">
        <f t="shared" ca="1" si="52"/>
        <v>-6.0649663380913273E-2</v>
      </c>
      <c r="AC72" s="34">
        <f t="shared" ca="1" si="53"/>
        <v>7.2042166236165286E-2</v>
      </c>
      <c r="AD72" s="26">
        <f t="shared" ca="1" si="54"/>
        <v>0.11059650830614991</v>
      </c>
      <c r="AE72" s="18">
        <f t="shared" ca="1" si="55"/>
        <v>0.11059650830614991</v>
      </c>
      <c r="AF72" s="10" t="str">
        <f t="shared" si="49"/>
        <v>Otago Regional</v>
      </c>
      <c r="AG72" s="42">
        <f t="shared" ca="1" si="56"/>
        <v>0.51</v>
      </c>
      <c r="AH72" s="18">
        <f t="shared" ca="1" si="57"/>
        <v>0.51</v>
      </c>
      <c r="AI72" s="1"/>
      <c r="AJ72" s="1"/>
      <c r="AK72" s="1"/>
      <c r="AL72" s="1"/>
      <c r="AM72" s="1">
        <f ca="1">MIN(W37,Y37)</f>
        <v>19392586</v>
      </c>
      <c r="AN72" s="1">
        <f ca="1">Y37-AM72</f>
        <v>204583.06590728462</v>
      </c>
      <c r="AO72" s="1">
        <f ca="1">W37-AM72</f>
        <v>0</v>
      </c>
    </row>
    <row r="73" spans="1:41" x14ac:dyDescent="0.25">
      <c r="A73" s="94">
        <f t="shared" ca="1" si="36"/>
        <v>71</v>
      </c>
      <c r="B73" s="95">
        <v>59</v>
      </c>
      <c r="C73">
        <f>MATCH(B73,Inputs!$A$4:$A$81,0)</f>
        <v>52</v>
      </c>
      <c r="D73" t="str">
        <f>INDEX(Inputs!$A$4:$AD$81,Model!$C73,D$90)</f>
        <v>Selwyn District</v>
      </c>
      <c r="E73">
        <f ca="1">INDEX(Inputs!$A$4:$AD$81,Model!$C73,E$90)</f>
        <v>23772</v>
      </c>
      <c r="F73">
        <f>INDEX(Inputs!$A$4:$AD$81,Model!$C73,F$90)</f>
        <v>920.07287117903934</v>
      </c>
      <c r="G73">
        <f ca="1">INDEX(Inputs!$A$4:$AD$81,Model!$C73,G$90)</f>
        <v>1.2324426705813148E-7</v>
      </c>
      <c r="H73" s="10">
        <f t="shared" ca="1" si="37"/>
        <v>-0.24540178768509105</v>
      </c>
      <c r="I73" s="14">
        <f t="shared" si="38"/>
        <v>-1.9675454522874996</v>
      </c>
      <c r="J73" s="14">
        <f t="shared" ca="1" si="39"/>
        <v>-0.19685651399304213</v>
      </c>
      <c r="K73" s="10">
        <f t="shared" ca="1" si="40"/>
        <v>6.856525309773664</v>
      </c>
      <c r="L73" s="14">
        <f t="shared" si="41"/>
        <v>0</v>
      </c>
      <c r="M73" s="14">
        <f t="shared" ca="1" si="42"/>
        <v>0.69750742156366508</v>
      </c>
      <c r="N73" s="14">
        <f t="shared" ca="1" si="43"/>
        <v>7.5540327313373288</v>
      </c>
      <c r="O73" s="14">
        <f t="shared" ca="1" si="50"/>
        <v>0.3974641036129169</v>
      </c>
      <c r="P73" s="11">
        <f t="shared" ca="1" si="51"/>
        <v>-1.7190619098819484</v>
      </c>
      <c r="S73" s="26">
        <f t="shared" ca="1" si="44"/>
        <v>0.51</v>
      </c>
      <c r="T73" s="18">
        <f ca="1">INDEX(Inputs!BU$4:BU$81,Model!$C73)</f>
        <v>0.51</v>
      </c>
      <c r="U73" s="10">
        <f>INDEX(Inputs!Z$4:Z$81,Model!$C73)</f>
        <v>38546406</v>
      </c>
      <c r="V73" s="14">
        <f>INDEX(Inputs!AA$4:AA$81,Model!$C73)</f>
        <v>19280160</v>
      </c>
      <c r="W73" s="11">
        <f>INDEX(Inputs!AB$4:AB$81,Model!$C73)</f>
        <v>19266246</v>
      </c>
      <c r="X73" s="10">
        <f t="shared" ca="1" si="45"/>
        <v>19658667.059999999</v>
      </c>
      <c r="Y73" s="14">
        <f t="shared" ca="1" si="46"/>
        <v>18887738.940000001</v>
      </c>
      <c r="Z73" s="14">
        <f t="shared" ca="1" si="47"/>
        <v>378507.05999999866</v>
      </c>
      <c r="AA73" s="11">
        <f t="shared" ca="1" si="48"/>
        <v>-378507.05999999866</v>
      </c>
      <c r="AB73" s="33">
        <f t="shared" ca="1" si="52"/>
        <v>1.9631946000448059E-2</v>
      </c>
      <c r="AC73" s="34">
        <f t="shared" ca="1" si="53"/>
        <v>-1.9646124107415563E-2</v>
      </c>
      <c r="AD73" s="26">
        <f t="shared" ca="1" si="54"/>
        <v>-4.1838355653180996E-2</v>
      </c>
      <c r="AE73" s="18">
        <f t="shared" ca="1" si="55"/>
        <v>-4.1838355653180996E-2</v>
      </c>
      <c r="AF73" s="10" t="str">
        <f t="shared" si="49"/>
        <v>Selwyn District</v>
      </c>
      <c r="AG73" s="42">
        <f t="shared" ca="1" si="56"/>
        <v>0.51</v>
      </c>
      <c r="AH73" s="18">
        <f t="shared" ca="1" si="57"/>
        <v>0.51</v>
      </c>
      <c r="AI73" s="1"/>
      <c r="AJ73" s="1">
        <f ca="1">MIN(V38,X38)</f>
        <v>5734495.3194953902</v>
      </c>
      <c r="AK73" s="1">
        <f ca="1">X38-AJ73</f>
        <v>0</v>
      </c>
      <c r="AL73" s="1">
        <f ca="1">V38-AJ73</f>
        <v>106286.68050460983</v>
      </c>
      <c r="AM73" s="1"/>
      <c r="AN73" s="1"/>
      <c r="AO73" s="1"/>
    </row>
    <row r="74" spans="1:41" x14ac:dyDescent="0.25">
      <c r="A74" s="94">
        <f t="shared" ca="1" si="36"/>
        <v>72</v>
      </c>
      <c r="B74" s="95">
        <v>49</v>
      </c>
      <c r="C74">
        <f>MATCH(B74,Inputs!$A$4:$A$81,0)</f>
        <v>43</v>
      </c>
      <c r="D74" t="str">
        <f>INDEX(Inputs!$A$4:$AD$81,Model!$C74,D$90)</f>
        <v>Wellington City</v>
      </c>
      <c r="E74">
        <f ca="1">INDEX(Inputs!$A$4:$AD$81,Model!$C74,E$90)</f>
        <v>77306</v>
      </c>
      <c r="F74">
        <f>INDEX(Inputs!$A$4:$AD$81,Model!$C74,F$90)</f>
        <v>962.11787212002741</v>
      </c>
      <c r="G74">
        <f ca="1">INDEX(Inputs!$A$4:$AD$81,Model!$C74,G$90)</f>
        <v>1.128584879364097E-8</v>
      </c>
      <c r="H74" s="10">
        <f t="shared" ca="1" si="37"/>
        <v>0.47091086220664619</v>
      </c>
      <c r="I74" s="14">
        <f t="shared" si="38"/>
        <v>-0.96352821395658428</v>
      </c>
      <c r="J74" s="14">
        <f t="shared" ca="1" si="39"/>
        <v>-0.89292454276905719</v>
      </c>
      <c r="K74" s="10">
        <f t="shared" ca="1" si="40"/>
        <v>6.1402126598819269</v>
      </c>
      <c r="L74" s="14">
        <f t="shared" si="41"/>
        <v>1.0040172383309152</v>
      </c>
      <c r="M74" s="14">
        <f t="shared" ca="1" si="42"/>
        <v>1.4393927876500401E-3</v>
      </c>
      <c r="N74" s="14">
        <f t="shared" ca="1" si="43"/>
        <v>7.145669291000492</v>
      </c>
      <c r="O74" s="14">
        <f t="shared" ca="1" si="50"/>
        <v>0.3689533949349933</v>
      </c>
      <c r="P74" s="11">
        <f t="shared" ca="1" si="51"/>
        <v>-2.1274253502187852</v>
      </c>
      <c r="S74" s="26">
        <f t="shared" ca="1" si="44"/>
        <v>0.51</v>
      </c>
      <c r="T74" s="18">
        <f ca="1">INDEX(Inputs!BU$4:BU$81,Model!$C74)</f>
        <v>0.51</v>
      </c>
      <c r="U74" s="10">
        <f>INDEX(Inputs!Z$4:Z$81,Model!$C74)</f>
        <v>134021211</v>
      </c>
      <c r="V74" s="14">
        <f>INDEX(Inputs!AA$4:AA$81,Model!$C74)</f>
        <v>61752690</v>
      </c>
      <c r="W74" s="11">
        <f>INDEX(Inputs!AB$4:AB$81,Model!$C74)</f>
        <v>72268521</v>
      </c>
      <c r="X74" s="10">
        <f t="shared" ca="1" si="45"/>
        <v>68350817.609999999</v>
      </c>
      <c r="Y74" s="14">
        <f t="shared" ca="1" si="46"/>
        <v>65670393.390000001</v>
      </c>
      <c r="Z74" s="14">
        <f t="shared" ca="1" si="47"/>
        <v>6598127.6099999994</v>
      </c>
      <c r="AA74" s="11">
        <f t="shared" ca="1" si="48"/>
        <v>-6598127.6099999994</v>
      </c>
      <c r="AB74" s="33">
        <f t="shared" ca="1" si="52"/>
        <v>0.1068476144116151</v>
      </c>
      <c r="AC74" s="34">
        <f t="shared" ca="1" si="53"/>
        <v>-9.1300161103338467E-2</v>
      </c>
      <c r="AD74" s="26">
        <f t="shared" ca="1" si="54"/>
        <v>-0.72932539116246353</v>
      </c>
      <c r="AE74" s="18">
        <f t="shared" ca="1" si="55"/>
        <v>-0.72932539116246353</v>
      </c>
      <c r="AF74" s="10" t="str">
        <f t="shared" si="49"/>
        <v>Wellington City</v>
      </c>
      <c r="AG74" s="42">
        <f t="shared" ca="1" si="56"/>
        <v>0.51</v>
      </c>
      <c r="AH74" s="18">
        <f t="shared" ca="1" si="57"/>
        <v>0.51</v>
      </c>
      <c r="AI74" s="1"/>
      <c r="AJ74" s="1"/>
      <c r="AK74" s="1"/>
      <c r="AL74" s="1"/>
      <c r="AM74" s="1">
        <f ca="1">MIN(W38,Y38)</f>
        <v>5120900</v>
      </c>
      <c r="AN74" s="1">
        <f ca="1">Y38-AM74</f>
        <v>106286.68050460983</v>
      </c>
      <c r="AO74" s="1">
        <f ca="1">W38-AM74</f>
        <v>0</v>
      </c>
    </row>
    <row r="75" spans="1:41" x14ac:dyDescent="0.25">
      <c r="A75" s="94">
        <f t="shared" ca="1" si="36"/>
        <v>73</v>
      </c>
      <c r="B75" s="95">
        <v>69</v>
      </c>
      <c r="C75">
        <f>MATCH(B75,Inputs!$A$4:$A$81,0)</f>
        <v>62</v>
      </c>
      <c r="D75" t="str">
        <f>INDEX(Inputs!$A$4:$AD$81,Model!$C75,D$90)</f>
        <v>Queenstown-Lakes District</v>
      </c>
      <c r="E75">
        <f ca="1">INDEX(Inputs!$A$4:$AD$81,Model!$C75,E$90)</f>
        <v>23509</v>
      </c>
      <c r="F75">
        <f>INDEX(Inputs!$A$4:$AD$81,Model!$C75,F$90)</f>
        <v>926.50854979767655</v>
      </c>
      <c r="G75">
        <f ca="1">INDEX(Inputs!$A$4:$AD$81,Model!$C75,G$90)</f>
        <v>2.9367732987273627E-8</v>
      </c>
      <c r="H75" s="10">
        <f t="shared" ca="1" si="37"/>
        <v>-0.24892086391555254</v>
      </c>
      <c r="I75" s="14">
        <f t="shared" si="38"/>
        <v>-1.8138641078028488</v>
      </c>
      <c r="J75" s="14">
        <f t="shared" ca="1" si="39"/>
        <v>-0.78050582801475987</v>
      </c>
      <c r="K75" s="10">
        <f t="shared" ca="1" si="40"/>
        <v>6.8600443860041258</v>
      </c>
      <c r="L75" s="14">
        <f t="shared" si="41"/>
        <v>0.15368134448465076</v>
      </c>
      <c r="M75" s="14">
        <f t="shared" ca="1" si="42"/>
        <v>0.11385810754194736</v>
      </c>
      <c r="N75" s="14">
        <f t="shared" ca="1" si="43"/>
        <v>7.1275838380307235</v>
      </c>
      <c r="O75" s="14">
        <f t="shared" ca="1" si="50"/>
        <v>0.3676907229374608</v>
      </c>
      <c r="P75" s="11">
        <f t="shared" ca="1" si="51"/>
        <v>-2.1455108031885537</v>
      </c>
      <c r="S75" s="26">
        <f t="shared" ca="1" si="44"/>
        <v>0.51</v>
      </c>
      <c r="T75" s="18">
        <f ca="1">INDEX(Inputs!BU$4:BU$81,Model!$C75)</f>
        <v>0.51</v>
      </c>
      <c r="U75" s="10">
        <f>INDEX(Inputs!Z$4:Z$81,Model!$C75)</f>
        <v>76778488</v>
      </c>
      <c r="V75" s="14">
        <f>INDEX(Inputs!AA$4:AA$81,Model!$C75)</f>
        <v>43083864</v>
      </c>
      <c r="W75" s="11">
        <f>INDEX(Inputs!AB$4:AB$81,Model!$C75)</f>
        <v>33694624</v>
      </c>
      <c r="X75" s="10">
        <f t="shared" ca="1" si="45"/>
        <v>39157028.880000003</v>
      </c>
      <c r="Y75" s="14">
        <f t="shared" ca="1" si="46"/>
        <v>37621459.119999997</v>
      </c>
      <c r="Z75" s="14">
        <f t="shared" ca="1" si="47"/>
        <v>-3926835.1199999973</v>
      </c>
      <c r="AA75" s="11">
        <f t="shared" ca="1" si="48"/>
        <v>3926835.1199999973</v>
      </c>
      <c r="AB75" s="33">
        <f t="shared" ca="1" si="52"/>
        <v>-9.1143986528227763E-2</v>
      </c>
      <c r="AC75" s="34">
        <f t="shared" ca="1" si="53"/>
        <v>0.11654188870010829</v>
      </c>
      <c r="AD75" s="26">
        <f t="shared" ca="1" si="54"/>
        <v>0.43405352687995341</v>
      </c>
      <c r="AE75" s="18">
        <f t="shared" ca="1" si="55"/>
        <v>0.43405352687995341</v>
      </c>
      <c r="AF75" s="10" t="str">
        <f t="shared" si="49"/>
        <v>Queenstown-Lakes District</v>
      </c>
      <c r="AG75" s="42">
        <f t="shared" ca="1" si="56"/>
        <v>0.51</v>
      </c>
      <c r="AH75" s="18">
        <f t="shared" ca="1" si="57"/>
        <v>0.51</v>
      </c>
      <c r="AI75" s="1"/>
      <c r="AJ75" s="1">
        <f ca="1">MIN(V39,X39)</f>
        <v>7678001.3925836915</v>
      </c>
      <c r="AK75" s="1">
        <f ca="1">X39-AJ75</f>
        <v>0</v>
      </c>
      <c r="AL75" s="1">
        <f ca="1">V39-AJ75</f>
        <v>1183847.6074163085</v>
      </c>
      <c r="AM75" s="1"/>
      <c r="AN75" s="1"/>
      <c r="AO75" s="1"/>
    </row>
    <row r="76" spans="1:41" x14ac:dyDescent="0.25">
      <c r="A76" s="94">
        <f t="shared" ca="1" si="36"/>
        <v>74</v>
      </c>
      <c r="B76" s="95">
        <v>83</v>
      </c>
      <c r="C76">
        <f>MATCH(B76,Inputs!$A$4:$A$81,0)</f>
        <v>69</v>
      </c>
      <c r="D76" t="str">
        <f>INDEX(Inputs!$A$4:$AD$81,Model!$C76,D$90)</f>
        <v>Waikato Regional</v>
      </c>
      <c r="E76">
        <f ca="1">INDEX(Inputs!$A$4:$AD$81,Model!$C76,E$90)</f>
        <v>204182</v>
      </c>
      <c r="F76">
        <f>INDEX(Inputs!$A$4:$AD$81,Model!$C76,F$90)</f>
        <v>1011.5041228877816</v>
      </c>
      <c r="G76">
        <f ca="1">INDEX(Inputs!$A$4:$AD$81,Model!$C76,G$90)</f>
        <v>6.6129807903785371E-8</v>
      </c>
      <c r="H76" s="10">
        <f t="shared" ca="1" si="37"/>
        <v>2.1685774622676179</v>
      </c>
      <c r="I76" s="14">
        <f t="shared" si="38"/>
        <v>0.21579503488702331</v>
      </c>
      <c r="J76" s="14">
        <f t="shared" ca="1" si="39"/>
        <v>-0.55194860634696796</v>
      </c>
      <c r="K76" s="10">
        <f t="shared" ca="1" si="40"/>
        <v>4.4425460598209554</v>
      </c>
      <c r="L76" s="14">
        <f t="shared" si="41"/>
        <v>2.1833404871745228</v>
      </c>
      <c r="M76" s="14">
        <f t="shared" ca="1" si="42"/>
        <v>0.34241532920973927</v>
      </c>
      <c r="N76" s="14">
        <f t="shared" ca="1" si="43"/>
        <v>6.9683018762052171</v>
      </c>
      <c r="O76" s="14">
        <f t="shared" ca="1" si="50"/>
        <v>0.35657013484683908</v>
      </c>
      <c r="P76" s="11">
        <f t="shared" ca="1" si="51"/>
        <v>-2.3047927650140601</v>
      </c>
      <c r="S76" s="26">
        <f t="shared" ca="1" si="44"/>
        <v>0.51</v>
      </c>
      <c r="T76" s="18">
        <f ca="1">INDEX(Inputs!BU$4:BU$81,Model!$C76)</f>
        <v>0.51</v>
      </c>
      <c r="U76" s="10">
        <f>INDEX(Inputs!Z$4:Z$81,Model!$C76)</f>
        <v>70024147</v>
      </c>
      <c r="V76" s="14">
        <f>INDEX(Inputs!AA$4:AA$81,Model!$C76)</f>
        <v>37154012</v>
      </c>
      <c r="W76" s="11">
        <f>INDEX(Inputs!AB$4:AB$81,Model!$C76)</f>
        <v>32870135</v>
      </c>
      <c r="X76" s="10">
        <f t="shared" ca="1" si="45"/>
        <v>35712314.969999999</v>
      </c>
      <c r="Y76" s="14">
        <f t="shared" ca="1" si="46"/>
        <v>34311832.030000001</v>
      </c>
      <c r="Z76" s="14">
        <f t="shared" ca="1" si="47"/>
        <v>-1441697.0300000012</v>
      </c>
      <c r="AA76" s="11">
        <f t="shared" ca="1" si="48"/>
        <v>1441697.0300000012</v>
      </c>
      <c r="AB76" s="33">
        <f t="shared" ca="1" si="52"/>
        <v>-3.8803266522064998E-2</v>
      </c>
      <c r="AC76" s="34">
        <f t="shared" ca="1" si="53"/>
        <v>4.3860392724276949E-2</v>
      </c>
      <c r="AD76" s="26">
        <f t="shared" ca="1" si="54"/>
        <v>0.15935827745267159</v>
      </c>
      <c r="AE76" s="18">
        <f t="shared" ca="1" si="55"/>
        <v>0.15935827745267159</v>
      </c>
      <c r="AF76" s="10" t="str">
        <f t="shared" si="49"/>
        <v>Waikato Regional</v>
      </c>
      <c r="AG76" s="42">
        <f t="shared" ca="1" si="56"/>
        <v>0.51</v>
      </c>
      <c r="AH76" s="18">
        <f t="shared" ca="1" si="57"/>
        <v>0.51</v>
      </c>
      <c r="AI76" s="1"/>
      <c r="AJ76" s="1"/>
      <c r="AK76" s="1"/>
      <c r="AL76" s="1"/>
      <c r="AM76" s="1">
        <f ca="1">MIN(W39,Y39)</f>
        <v>5875218</v>
      </c>
      <c r="AN76" s="1">
        <f ca="1">Y39-AM76</f>
        <v>1183847.6074163085</v>
      </c>
      <c r="AO76" s="1">
        <f ca="1">W39-AM76</f>
        <v>0</v>
      </c>
    </row>
    <row r="77" spans="1:41" x14ac:dyDescent="0.25">
      <c r="A77" s="94">
        <f t="shared" ca="1" si="36"/>
        <v>75</v>
      </c>
      <c r="B77" s="95">
        <v>56</v>
      </c>
      <c r="C77">
        <f>MATCH(B77,Inputs!$A$4:$A$81,0)</f>
        <v>49</v>
      </c>
      <c r="D77" t="str">
        <f>INDEX(Inputs!$A$4:$AD$81,Model!$C77,D$90)</f>
        <v>Christchurch City</v>
      </c>
      <c r="E77">
        <f ca="1">INDEX(Inputs!$A$4:$AD$81,Model!$C77,E$90)</f>
        <v>169606</v>
      </c>
      <c r="F77">
        <f>INDEX(Inputs!$A$4:$AD$81,Model!$C77,F$90)</f>
        <v>985.0772864148671</v>
      </c>
      <c r="G77">
        <f ca="1">INDEX(Inputs!$A$4:$AD$81,Model!$C77,G$90)</f>
        <v>2.3025616461115641E-8</v>
      </c>
      <c r="H77" s="10">
        <f t="shared" ca="1" si="37"/>
        <v>1.7059326723648138</v>
      </c>
      <c r="I77" s="14">
        <f t="shared" si="38"/>
        <v>-0.41526689351199114</v>
      </c>
      <c r="J77" s="14">
        <f t="shared" ca="1" si="39"/>
        <v>-0.81993604342028348</v>
      </c>
      <c r="K77" s="10">
        <f t="shared" ca="1" si="40"/>
        <v>4.9051908497237591</v>
      </c>
      <c r="L77" s="14">
        <f t="shared" si="41"/>
        <v>1.5522785587755084</v>
      </c>
      <c r="M77" s="14">
        <f t="shared" ca="1" si="42"/>
        <v>7.4427892136423757E-2</v>
      </c>
      <c r="N77" s="14">
        <f t="shared" ca="1" si="43"/>
        <v>6.5318973006356913</v>
      </c>
      <c r="O77" s="14">
        <f t="shared" ca="1" si="50"/>
        <v>0.32610167834271925</v>
      </c>
      <c r="P77" s="11">
        <f t="shared" ca="1" si="51"/>
        <v>-2.7411973405835859</v>
      </c>
      <c r="S77" s="26">
        <f t="shared" ca="1" si="44"/>
        <v>0.51</v>
      </c>
      <c r="T77" s="18">
        <f ca="1">INDEX(Inputs!BU$4:BU$81,Model!$C77)</f>
        <v>0.51</v>
      </c>
      <c r="U77" s="10">
        <f>INDEX(Inputs!Z$4:Z$81,Model!$C77)</f>
        <v>182535189</v>
      </c>
      <c r="V77" s="14">
        <f>INDEX(Inputs!AA$4:AA$81,Model!$C77)</f>
        <v>85849130</v>
      </c>
      <c r="W77" s="11">
        <f>INDEX(Inputs!AB$4:AB$81,Model!$C77)</f>
        <v>96686059</v>
      </c>
      <c r="X77" s="10">
        <f t="shared" ca="1" si="45"/>
        <v>93092946.390000001</v>
      </c>
      <c r="Y77" s="14">
        <f t="shared" ca="1" si="46"/>
        <v>89442242.609999999</v>
      </c>
      <c r="Z77" s="14">
        <f t="shared" ca="1" si="47"/>
        <v>7243816.3900000006</v>
      </c>
      <c r="AA77" s="11">
        <f t="shared" ca="1" si="48"/>
        <v>-7243816.3900000006</v>
      </c>
      <c r="AB77" s="33">
        <f t="shared" ca="1" si="52"/>
        <v>8.4378448447875953E-2</v>
      </c>
      <c r="AC77" s="34">
        <f t="shared" ca="1" si="53"/>
        <v>-7.4921001692705255E-2</v>
      </c>
      <c r="AD77" s="26">
        <f t="shared" ca="1" si="54"/>
        <v>-0.80069673313666268</v>
      </c>
      <c r="AE77" s="18">
        <f t="shared" ca="1" si="55"/>
        <v>-0.80069673313666268</v>
      </c>
      <c r="AF77" s="10" t="str">
        <f t="shared" si="49"/>
        <v>Christchurch City</v>
      </c>
      <c r="AG77" s="42">
        <f t="shared" ca="1" si="56"/>
        <v>0.51</v>
      </c>
      <c r="AH77" s="18">
        <f t="shared" ca="1" si="57"/>
        <v>0.51</v>
      </c>
      <c r="AI77" s="1"/>
      <c r="AJ77" s="1">
        <f ca="1">MIN(V40,X40)</f>
        <v>1475636</v>
      </c>
      <c r="AK77" s="1">
        <f ca="1">X40-AJ77</f>
        <v>93868.166866891785</v>
      </c>
      <c r="AL77" s="1">
        <f ca="1">V40-AJ77</f>
        <v>0</v>
      </c>
      <c r="AM77" s="1"/>
      <c r="AN77" s="1"/>
      <c r="AO77" s="1"/>
    </row>
    <row r="78" spans="1:41" x14ac:dyDescent="0.25">
      <c r="A78" s="94">
        <f t="shared" ca="1" si="36"/>
        <v>76</v>
      </c>
      <c r="B78" s="95">
        <v>89</v>
      </c>
      <c r="C78">
        <f>MATCH(B78,Inputs!$A$4:$A$81,0)</f>
        <v>74</v>
      </c>
      <c r="D78" t="str">
        <f>INDEX(Inputs!$A$4:$AD$81,Model!$C78,D$90)</f>
        <v>Wellington Regional</v>
      </c>
      <c r="E78">
        <f ca="1">INDEX(Inputs!$A$4:$AD$81,Model!$C78,E$90)</f>
        <v>200061</v>
      </c>
      <c r="F78">
        <f>INDEX(Inputs!$A$4:$AD$81,Model!$C78,F$90)</f>
        <v>984.14695122359035</v>
      </c>
      <c r="G78">
        <f ca="1">INDEX(Inputs!$A$4:$AD$81,Model!$C78,G$90)</f>
        <v>3.2199167728659464E-8</v>
      </c>
      <c r="H78" s="10">
        <f t="shared" ca="1" si="37"/>
        <v>2.1134363476450631</v>
      </c>
      <c r="I78" s="14">
        <f t="shared" si="38"/>
        <v>-0.43748291321856125</v>
      </c>
      <c r="J78" s="14">
        <f t="shared" ca="1" si="39"/>
        <v>-0.76290222812834152</v>
      </c>
      <c r="K78" s="10">
        <f t="shared" ca="1" si="40"/>
        <v>4.4976871744435103</v>
      </c>
      <c r="L78" s="14">
        <f t="shared" si="41"/>
        <v>1.5300625390689384</v>
      </c>
      <c r="M78" s="14">
        <f t="shared" ca="1" si="42"/>
        <v>0.13146170742836571</v>
      </c>
      <c r="N78" s="14">
        <f t="shared" ca="1" si="43"/>
        <v>6.1592114209408146</v>
      </c>
      <c r="O78" s="14">
        <f t="shared" ca="1" si="50"/>
        <v>0.30008186977319629</v>
      </c>
      <c r="P78" s="11">
        <f t="shared" ca="1" si="51"/>
        <v>-3.1138832202784625</v>
      </c>
      <c r="S78" s="26">
        <f t="shared" ca="1" si="44"/>
        <v>0.51</v>
      </c>
      <c r="T78" s="18">
        <f ca="1">INDEX(Inputs!BU$4:BU$81,Model!$C78)</f>
        <v>0.51</v>
      </c>
      <c r="U78" s="10">
        <f>INDEX(Inputs!Z$4:Z$81,Model!$C78)</f>
        <v>365115314</v>
      </c>
      <c r="V78" s="14">
        <f>INDEX(Inputs!AA$4:AA$81,Model!$C78)</f>
        <v>202968093</v>
      </c>
      <c r="W78" s="11">
        <f>INDEX(Inputs!AB$4:AB$81,Model!$C78)</f>
        <v>162147221</v>
      </c>
      <c r="X78" s="10">
        <f t="shared" ca="1" si="45"/>
        <v>186208810.14000002</v>
      </c>
      <c r="Y78" s="14">
        <f t="shared" ca="1" si="46"/>
        <v>178906503.85999998</v>
      </c>
      <c r="Z78" s="14">
        <f t="shared" ca="1" si="47"/>
        <v>-16759282.859999985</v>
      </c>
      <c r="AA78" s="11">
        <f t="shared" ca="1" si="48"/>
        <v>16759282.859999985</v>
      </c>
      <c r="AB78" s="33">
        <f t="shared" ca="1" si="52"/>
        <v>-8.2571021938901423E-2</v>
      </c>
      <c r="AC78" s="34">
        <f t="shared" ca="1" si="53"/>
        <v>0.10335843412327113</v>
      </c>
      <c r="AD78" s="26">
        <f t="shared" ca="1" si="54"/>
        <v>1.8524907746474852</v>
      </c>
      <c r="AE78" s="18">
        <f t="shared" ca="1" si="55"/>
        <v>1.8524907746474852</v>
      </c>
      <c r="AF78" s="10" t="str">
        <f t="shared" si="49"/>
        <v>Wellington Regional</v>
      </c>
      <c r="AG78" s="42">
        <f t="shared" ca="1" si="56"/>
        <v>0.51</v>
      </c>
      <c r="AH78" s="18">
        <f t="shared" ca="1" si="57"/>
        <v>0.51</v>
      </c>
      <c r="AI78" s="1"/>
      <c r="AJ78" s="1"/>
      <c r="AK78" s="1"/>
      <c r="AL78" s="1"/>
      <c r="AM78" s="1">
        <f ca="1">MIN(W40,Y40)</f>
        <v>1490850.8331331082</v>
      </c>
      <c r="AN78" s="1">
        <f ca="1">Y40-AM78</f>
        <v>0</v>
      </c>
      <c r="AO78" s="1">
        <f ca="1">W40-AM78</f>
        <v>93868.166866891785</v>
      </c>
    </row>
    <row r="79" spans="1:41" x14ac:dyDescent="0.25">
      <c r="A79" s="94">
        <f t="shared" ca="1" si="36"/>
        <v>77</v>
      </c>
      <c r="B79" s="95">
        <v>91</v>
      </c>
      <c r="C79">
        <f>MATCH(B79,Inputs!$A$4:$A$81,0)</f>
        <v>76</v>
      </c>
      <c r="D79" t="str">
        <f>INDEX(Inputs!$A$4:$AD$81,Model!$C79,D$90)</f>
        <v>Canterbury Regional</v>
      </c>
      <c r="E79">
        <f ca="1">INDEX(Inputs!$A$4:$AD$81,Model!$C79,E$90)</f>
        <v>274965</v>
      </c>
      <c r="F79">
        <f>INDEX(Inputs!$A$4:$AD$81,Model!$C79,F$90)</f>
        <v>974.76450460759099</v>
      </c>
      <c r="G79">
        <f ca="1">INDEX(Inputs!$A$4:$AD$81,Model!$C79,G$90)</f>
        <v>7.8705015737426292E-8</v>
      </c>
      <c r="H79" s="10">
        <f t="shared" ca="1" si="37"/>
        <v>3.1156906669092819</v>
      </c>
      <c r="I79" s="14">
        <f t="shared" si="38"/>
        <v>-0.66153185909454004</v>
      </c>
      <c r="J79" s="14">
        <f t="shared" ca="1" si="39"/>
        <v>-0.47376600727225987</v>
      </c>
      <c r="K79" s="10">
        <f t="shared" ca="1" si="40"/>
        <v>3.4954328551792915</v>
      </c>
      <c r="L79" s="14">
        <f t="shared" si="41"/>
        <v>1.3060135931929595</v>
      </c>
      <c r="M79" s="14">
        <f t="shared" ca="1" si="42"/>
        <v>0.42059792828444736</v>
      </c>
      <c r="N79" s="14">
        <f t="shared" ca="1" si="43"/>
        <v>5.2220443766566982</v>
      </c>
      <c r="O79" s="14">
        <f t="shared" ca="1" si="50"/>
        <v>0.23465168199709208</v>
      </c>
      <c r="P79" s="11">
        <f t="shared" ca="1" si="51"/>
        <v>-4.051050264562579</v>
      </c>
      <c r="S79" s="26">
        <f t="shared" ca="1" si="44"/>
        <v>0.51</v>
      </c>
      <c r="T79" s="18">
        <f ca="1">INDEX(Inputs!BU$4:BU$81,Model!$C79)</f>
        <v>0.51</v>
      </c>
      <c r="U79" s="10">
        <f>INDEX(Inputs!Z$4:Z$81,Model!$C79)</f>
        <v>166890774</v>
      </c>
      <c r="V79" s="14">
        <f>INDEX(Inputs!AA$4:AA$81,Model!$C79)</f>
        <v>88778054</v>
      </c>
      <c r="W79" s="11">
        <f>INDEX(Inputs!AB$4:AB$81,Model!$C79)</f>
        <v>78112720</v>
      </c>
      <c r="X79" s="10">
        <f t="shared" ca="1" si="45"/>
        <v>85114294.739999995</v>
      </c>
      <c r="Y79" s="14">
        <f t="shared" ca="1" si="46"/>
        <v>81776479.260000005</v>
      </c>
      <c r="Z79" s="14">
        <f t="shared" ca="1" si="47"/>
        <v>-3663759.2600000054</v>
      </c>
      <c r="AA79" s="11">
        <f t="shared" ca="1" si="48"/>
        <v>3663759.2600000054</v>
      </c>
      <c r="AB79" s="33">
        <f t="shared" ca="1" si="52"/>
        <v>-4.1268749369072738E-2</v>
      </c>
      <c r="AC79" s="34">
        <f t="shared" ca="1" si="53"/>
        <v>4.6903491006330407E-2</v>
      </c>
      <c r="AD79" s="26">
        <f t="shared" ca="1" si="54"/>
        <v>0.40497438263771351</v>
      </c>
      <c r="AE79" s="18">
        <f t="shared" ca="1" si="55"/>
        <v>0.40497438263771351</v>
      </c>
      <c r="AF79" s="10" t="str">
        <f t="shared" si="49"/>
        <v>Canterbury Regional</v>
      </c>
      <c r="AG79" s="42">
        <f t="shared" ca="1" si="56"/>
        <v>0.51</v>
      </c>
      <c r="AH79" s="18">
        <f t="shared" ca="1" si="57"/>
        <v>0.51</v>
      </c>
      <c r="AI79" s="1"/>
      <c r="AJ79" s="1">
        <f ca="1">MIN(V41,X41)</f>
        <v>58044752.041794322</v>
      </c>
      <c r="AK79" s="1">
        <f ca="1">X41-AJ79</f>
        <v>0</v>
      </c>
      <c r="AL79" s="1">
        <f ca="1">V41-AJ79</f>
        <v>2263938.818205677</v>
      </c>
      <c r="AM79" s="1"/>
      <c r="AN79" s="1"/>
      <c r="AO79" s="1"/>
    </row>
    <row r="80" spans="1:41" x14ac:dyDescent="0.25">
      <c r="A80" s="96">
        <f t="shared" ca="1" si="36"/>
        <v>78</v>
      </c>
      <c r="B80" s="97">
        <v>4</v>
      </c>
      <c r="C80">
        <f>MATCH(B80,Inputs!$A$4:$A$81,0)</f>
        <v>4</v>
      </c>
      <c r="D80" t="str">
        <f>INDEX(Inputs!$A$4:$AD$81,Model!$C80,D$90)</f>
        <v>Auckland</v>
      </c>
      <c r="E80">
        <f ca="1">INDEX(Inputs!$A$4:$AD$81,Model!$C80,E$90)</f>
        <v>536198</v>
      </c>
      <c r="F80">
        <f>INDEX(Inputs!$A$4:$AD$81,Model!$C80,F$90)</f>
        <v>998.00934646069493</v>
      </c>
      <c r="G80">
        <f ca="1">INDEX(Inputs!$A$4:$AD$81,Model!$C80,G$90)</f>
        <v>1.1054330992069198E-8</v>
      </c>
      <c r="H80" s="10">
        <f t="shared" ca="1" si="37"/>
        <v>6.6111235220885733</v>
      </c>
      <c r="I80" s="14">
        <f t="shared" si="38"/>
        <v>-0.10645464657292629</v>
      </c>
      <c r="J80" s="14">
        <f t="shared" ca="1" si="39"/>
        <v>-0.89436393555670723</v>
      </c>
      <c r="K80" s="10">
        <f t="shared" ca="1" si="40"/>
        <v>0</v>
      </c>
      <c r="L80" s="14">
        <f t="shared" si="41"/>
        <v>1.8610908057145732</v>
      </c>
      <c r="M80" s="14">
        <f t="shared" ca="1" si="42"/>
        <v>0</v>
      </c>
      <c r="N80" s="14">
        <f t="shared" ca="1" si="43"/>
        <v>1.8610908057145732</v>
      </c>
      <c r="O80" s="14">
        <f t="shared" ca="1" si="50"/>
        <v>0</v>
      </c>
      <c r="P80" s="11">
        <f t="shared" ca="1" si="51"/>
        <v>-7.412003835504704</v>
      </c>
      <c r="S80" s="26">
        <f t="shared" ca="1" si="44"/>
        <v>0.51</v>
      </c>
      <c r="T80" s="18">
        <f ca="1">INDEX(Inputs!BU$4:BU$81,Model!$C80)</f>
        <v>0.51</v>
      </c>
      <c r="U80" s="10">
        <f>INDEX(Inputs!Z$4:Z$81,Model!$C80)</f>
        <v>2336302835.0999999</v>
      </c>
      <c r="V80" s="14">
        <f>INDEX(Inputs!AA$4:AA$81,Model!$C80)</f>
        <v>1209994501.6645</v>
      </c>
      <c r="W80" s="11">
        <f>INDEX(Inputs!AB$4:AB$81,Model!$C80)</f>
        <v>1126308333.4354999</v>
      </c>
      <c r="X80" s="10">
        <f t="shared" ca="1" si="45"/>
        <v>1191514445.901</v>
      </c>
      <c r="Y80" s="14">
        <f t="shared" ca="1" si="46"/>
        <v>1144788389.1989999</v>
      </c>
      <c r="Z80" s="14">
        <f t="shared" ca="1" si="47"/>
        <v>-18480055.763499975</v>
      </c>
      <c r="AA80" s="11">
        <f t="shared" ca="1" si="48"/>
        <v>18480055.763499975</v>
      </c>
      <c r="AB80" s="33">
        <f t="shared" ca="1" si="52"/>
        <v>-1.5272842759267359E-2</v>
      </c>
      <c r="AC80" s="34">
        <f t="shared" ca="1" si="53"/>
        <v>1.6407634761195052E-2</v>
      </c>
      <c r="AD80" s="26">
        <f t="shared" ca="1" si="54"/>
        <v>2.042696761122321</v>
      </c>
      <c r="AE80" s="18">
        <f t="shared" ca="1" si="55"/>
        <v>2.042696761122321</v>
      </c>
      <c r="AF80" s="12" t="str">
        <f t="shared" si="49"/>
        <v>Auckland</v>
      </c>
      <c r="AG80" s="43">
        <f t="shared" ca="1" si="56"/>
        <v>0.51</v>
      </c>
      <c r="AH80" s="39">
        <f t="shared" ca="1" si="57"/>
        <v>0.51</v>
      </c>
      <c r="AI80" s="1"/>
      <c r="AJ80" s="1"/>
      <c r="AK80" s="1"/>
      <c r="AL80" s="1"/>
      <c r="AM80" s="1">
        <f ca="1">MIN(W41,Y41)</f>
        <v>52966530.609999999</v>
      </c>
      <c r="AN80" s="1">
        <f ca="1">Y41-AM80</f>
        <v>2263938.818205677</v>
      </c>
      <c r="AO80" s="1">
        <f ca="1">W41-AM80</f>
        <v>0</v>
      </c>
    </row>
    <row r="81" spans="2:41" x14ac:dyDescent="0.25">
      <c r="B81" s="22">
        <v>99</v>
      </c>
      <c r="D81" t="s">
        <v>125</v>
      </c>
      <c r="H81" s="10"/>
      <c r="I81" s="14"/>
      <c r="J81" s="14"/>
      <c r="K81" s="10"/>
      <c r="L81" s="14"/>
      <c r="M81" s="14"/>
      <c r="N81" s="14"/>
      <c r="O81" s="14"/>
      <c r="P81" s="11"/>
      <c r="S81" s="44">
        <f ca="1">R18</f>
        <v>0.53001774889030007</v>
      </c>
      <c r="T81" s="27">
        <f>Inputs!AC82</f>
        <v>0.53201124194865301</v>
      </c>
      <c r="U81" s="19">
        <f t="shared" ref="U81:W81" ca="1" si="58">SUM(U3:U80)</f>
        <v>6147286057.5799999</v>
      </c>
      <c r="V81" s="20">
        <f t="shared" ca="1" si="58"/>
        <v>3267217609.4245005</v>
      </c>
      <c r="W81" s="21">
        <f t="shared" ca="1" si="58"/>
        <v>2880068448.1554999</v>
      </c>
      <c r="X81" s="19">
        <f t="shared" ref="X81" ca="1" si="59">SUM(X3:X80)</f>
        <v>3258170718.0232792</v>
      </c>
      <c r="Y81" s="20">
        <f t="shared" ref="Y81" ca="1" si="60">SUM(Y3:Y80)</f>
        <v>2889115339.5567212</v>
      </c>
      <c r="Z81" s="20">
        <f t="shared" ref="Z81" ca="1" si="61">SUM(Z3:Z80)</f>
        <v>-9046891.4012212269</v>
      </c>
      <c r="AA81" s="21">
        <f t="shared" ref="AA81" ca="1" si="62">SUM(AA3:AA80)</f>
        <v>9046891.4012212269</v>
      </c>
      <c r="AB81" s="35">
        <f t="shared" ca="1" si="52"/>
        <v>-2.7689895448423404E-3</v>
      </c>
      <c r="AC81" s="36">
        <f t="shared" ca="1" si="53"/>
        <v>3.1412070803439355E-3</v>
      </c>
      <c r="AD81" s="37">
        <f t="shared" ca="1" si="54"/>
        <v>1</v>
      </c>
      <c r="AE81" s="27">
        <f t="shared" ca="1" si="55"/>
        <v>1</v>
      </c>
      <c r="AF81" s="12" t="str">
        <f t="shared" si="49"/>
        <v>National</v>
      </c>
      <c r="AG81" s="43">
        <f t="shared" si="56"/>
        <v>0.53</v>
      </c>
      <c r="AH81" s="39">
        <f t="shared" ca="1" si="57"/>
        <v>0.53</v>
      </c>
      <c r="AI81" s="1"/>
      <c r="AJ81" s="1">
        <f ca="1">MIN(V42,X42)</f>
        <v>7786882.4699999997</v>
      </c>
      <c r="AK81" s="1">
        <f ca="1">X42-AJ81</f>
        <v>0</v>
      </c>
      <c r="AL81" s="1">
        <f ca="1">V42-AJ81</f>
        <v>1005165.5300000003</v>
      </c>
      <c r="AM81" s="1"/>
      <c r="AN81" s="1"/>
      <c r="AO81" s="1"/>
    </row>
    <row r="82" spans="2:41" x14ac:dyDescent="0.25">
      <c r="D82" t="s">
        <v>91</v>
      </c>
      <c r="E82">
        <f ca="1">MIN(E3:E80)</f>
        <v>557</v>
      </c>
      <c r="F82">
        <f t="shared" ref="F82:G82" si="63">MIN(F3:F80)</f>
        <v>920.07287117903934</v>
      </c>
      <c r="G82">
        <f t="shared" ca="1" si="63"/>
        <v>1.1054330992069198E-8</v>
      </c>
      <c r="H82" s="10">
        <f t="shared" ref="H82:J82" ca="1" si="64">MIN(H3:H80)</f>
        <v>-0.55603051274274928</v>
      </c>
      <c r="I82" s="14">
        <f t="shared" si="64"/>
        <v>-1.9675454522874996</v>
      </c>
      <c r="J82" s="14">
        <f t="shared" ca="1" si="64"/>
        <v>-0.89436393555670723</v>
      </c>
      <c r="K82" s="10">
        <f t="shared" ref="K82:M82" ca="1" si="65">MIN(K3:K80)</f>
        <v>0</v>
      </c>
      <c r="L82" s="14">
        <f t="shared" si="65"/>
        <v>0</v>
      </c>
      <c r="M82" s="14">
        <f t="shared" ca="1" si="65"/>
        <v>0</v>
      </c>
      <c r="N82" s="14">
        <f t="shared" ref="N82:O82" ca="1" si="66">MIN(N3:N80)</f>
        <v>1.8610908057145732</v>
      </c>
      <c r="O82" s="14">
        <f t="shared" ca="1" si="66"/>
        <v>0</v>
      </c>
      <c r="P82" s="11">
        <f t="shared" ref="P82" ca="1" si="67">MIN(P3:P80)</f>
        <v>-7.412003835504704</v>
      </c>
      <c r="T82" s="7"/>
      <c r="X82" s="14"/>
      <c r="Y82" s="14"/>
      <c r="Z82" s="14"/>
      <c r="AA82" s="14"/>
      <c r="AB82" s="2"/>
      <c r="AC82" s="2"/>
      <c r="AD82" s="2"/>
      <c r="AE82" s="2"/>
      <c r="AF82" s="1"/>
      <c r="AI82" s="1"/>
      <c r="AJ82" s="1"/>
      <c r="AK82" s="1"/>
      <c r="AL82" s="1"/>
      <c r="AM82" s="1">
        <f ca="1">MIN(W42,Y42)</f>
        <v>6476349</v>
      </c>
      <c r="AN82" s="1">
        <f ca="1">Y42-AM82</f>
        <v>1005165.5300000003</v>
      </c>
      <c r="AO82" s="1">
        <f ca="1">W42-AM82</f>
        <v>0</v>
      </c>
    </row>
    <row r="83" spans="2:41" x14ac:dyDescent="0.25">
      <c r="D83" t="s">
        <v>92</v>
      </c>
      <c r="E83">
        <f ca="1">MAX(E3:E80)</f>
        <v>536198</v>
      </c>
      <c r="F83">
        <f t="shared" ref="F83:G83" si="68">MAX(F3:F80)</f>
        <v>1148.7324066029539</v>
      </c>
      <c r="G83">
        <f t="shared" ca="1" si="68"/>
        <v>1.248185793711957E-6</v>
      </c>
      <c r="H83" s="10">
        <f t="shared" ref="H83:J83" ca="1" si="69">MAX(H3:H80)</f>
        <v>6.6111235220885733</v>
      </c>
      <c r="I83" s="14">
        <f t="shared" si="69"/>
        <v>3.4927497109013736</v>
      </c>
      <c r="J83" s="14">
        <f t="shared" ca="1" si="69"/>
        <v>6.7971314601525545</v>
      </c>
      <c r="K83" s="10">
        <f t="shared" ref="K83:M83" ca="1" si="70">MAX(K3:K80)</f>
        <v>7.1671540348313227</v>
      </c>
      <c r="L83" s="14">
        <f t="shared" si="70"/>
        <v>5.4602951631888734</v>
      </c>
      <c r="M83" s="14">
        <f t="shared" ca="1" si="70"/>
        <v>7.6914953957092616</v>
      </c>
      <c r="N83" s="14">
        <f t="shared" ref="N83:O83" ca="1" si="71">MAX(N3:N80)</f>
        <v>16.184250743616811</v>
      </c>
      <c r="O83" s="14">
        <f t="shared" ca="1" si="71"/>
        <v>1</v>
      </c>
      <c r="P83" s="11">
        <f t="shared" ref="P83" ca="1" si="72">MAX(P3:P80)</f>
        <v>6.9111561023975341</v>
      </c>
      <c r="T83" s="7"/>
      <c r="X83" s="14"/>
      <c r="Y83" s="14"/>
      <c r="Z83" s="14"/>
      <c r="AA83" s="14"/>
      <c r="AB83" s="2"/>
      <c r="AC83" s="2"/>
      <c r="AD83" s="2"/>
      <c r="AE83" s="2"/>
      <c r="AF83" s="1"/>
      <c r="AI83" s="1"/>
      <c r="AJ83" s="1">
        <f ca="1">MIN(V43,X43)</f>
        <v>12829703</v>
      </c>
      <c r="AK83" s="1">
        <f ca="1">X43-AJ83</f>
        <v>518075.65000000037</v>
      </c>
      <c r="AL83" s="1">
        <f ca="1">V43-AJ83</f>
        <v>0</v>
      </c>
      <c r="AM83" s="1"/>
      <c r="AN83" s="1"/>
      <c r="AO83" s="1"/>
    </row>
    <row r="84" spans="2:41" x14ac:dyDescent="0.25">
      <c r="D84" t="s">
        <v>93</v>
      </c>
      <c r="E84">
        <f ca="1">E83-E82</f>
        <v>535641</v>
      </c>
      <c r="F84">
        <f t="shared" ref="F84:G84" si="73">F83-F82</f>
        <v>228.65953542391458</v>
      </c>
      <c r="G84">
        <f t="shared" ca="1" si="73"/>
        <v>1.2371314627198878E-6</v>
      </c>
      <c r="H84" s="10">
        <f t="shared" ref="H84:J84" ca="1" si="74">H83-H82</f>
        <v>7.1671540348313227</v>
      </c>
      <c r="I84" s="14">
        <f t="shared" si="74"/>
        <v>5.4602951631888734</v>
      </c>
      <c r="J84" s="14">
        <f t="shared" ca="1" si="74"/>
        <v>7.6914953957092616</v>
      </c>
      <c r="K84" s="10">
        <f t="shared" ref="K84" ca="1" si="75">K83-K82</f>
        <v>7.1671540348313227</v>
      </c>
      <c r="L84" s="14">
        <f t="shared" ref="L84" si="76">L83-L82</f>
        <v>5.4602951631888734</v>
      </c>
      <c r="M84" s="14">
        <f t="shared" ref="M84:P84" ca="1" si="77">M83-M82</f>
        <v>7.6914953957092616</v>
      </c>
      <c r="N84" s="14">
        <f t="shared" ca="1" si="77"/>
        <v>14.323159937902238</v>
      </c>
      <c r="O84" s="14">
        <f t="shared" ca="1" si="77"/>
        <v>1</v>
      </c>
      <c r="P84" s="11">
        <f t="shared" ca="1" si="77"/>
        <v>14.323159937902238</v>
      </c>
      <c r="T84" s="7"/>
      <c r="X84" s="14"/>
      <c r="Y84" s="14"/>
      <c r="Z84" s="14"/>
      <c r="AA84" s="14"/>
      <c r="AB84" s="2"/>
      <c r="AC84" s="2"/>
      <c r="AD84" s="2"/>
      <c r="AE84" s="2"/>
      <c r="AF84" s="1"/>
      <c r="AI84" s="1"/>
      <c r="AJ84" s="1"/>
      <c r="AK84" s="1"/>
      <c r="AL84" s="1"/>
      <c r="AM84" s="1">
        <f ca="1">MIN(W43,Y43)</f>
        <v>12824336.35</v>
      </c>
      <c r="AN84" s="1">
        <f ca="1">Y43-AM84</f>
        <v>0</v>
      </c>
      <c r="AO84" s="1">
        <f ca="1">W43-AM84</f>
        <v>518075.65000000037</v>
      </c>
    </row>
    <row r="85" spans="2:41" x14ac:dyDescent="0.25">
      <c r="D85" t="s">
        <v>99</v>
      </c>
      <c r="E85">
        <f ca="1">QUARTILE(E3:E80,2)</f>
        <v>21221</v>
      </c>
      <c r="F85">
        <f t="shared" ref="F85:O85" si="78">QUARTILE(F3:F80,2)</f>
        <v>997.1661732385262</v>
      </c>
      <c r="G85">
        <f t="shared" ca="1" si="78"/>
        <v>1.201304889999301E-7</v>
      </c>
      <c r="H85" s="10">
        <f t="shared" ref="H85:J85" ca="1" si="79">QUARTILE(H3:H80,2)</f>
        <v>-0.27953548906876913</v>
      </c>
      <c r="I85" s="14">
        <f t="shared" si="79"/>
        <v>-0.12658927449562909</v>
      </c>
      <c r="J85" s="14">
        <f t="shared" ca="1" si="79"/>
        <v>-0.21621549912891619</v>
      </c>
      <c r="K85" s="10">
        <f t="shared" ca="1" si="78"/>
        <v>6.8906590111573429</v>
      </c>
      <c r="L85" s="14">
        <f t="shared" si="78"/>
        <v>1.8409561777918704</v>
      </c>
      <c r="M85" s="14">
        <f t="shared" ca="1" si="78"/>
        <v>0.67814843642779099</v>
      </c>
      <c r="N85" s="14">
        <f t="shared" ca="1" si="78"/>
        <v>9.2730946412192772</v>
      </c>
      <c r="O85" s="14">
        <f t="shared" ca="1" si="78"/>
        <v>0.51748384208786968</v>
      </c>
      <c r="P85" s="11">
        <f t="shared" ref="P85" ca="1" si="80">QUARTILE(P3:P80,2)</f>
        <v>-8.8817841970012523E-16</v>
      </c>
      <c r="T85" s="7"/>
      <c r="X85" s="14"/>
      <c r="Y85" s="14"/>
      <c r="Z85" s="14"/>
      <c r="AA85" s="14"/>
      <c r="AB85" s="2"/>
      <c r="AC85" s="2"/>
      <c r="AD85" s="2"/>
      <c r="AE85" s="2"/>
      <c r="AF85" s="1"/>
      <c r="AI85" s="1"/>
      <c r="AJ85" s="1">
        <f ca="1">MIN(V44,X44)</f>
        <v>52033358.43</v>
      </c>
      <c r="AK85" s="1">
        <f ca="1">X44-AJ85</f>
        <v>0</v>
      </c>
      <c r="AL85" s="1">
        <f ca="1">V44-AJ85</f>
        <v>499573.26000000536</v>
      </c>
      <c r="AM85" s="1"/>
      <c r="AN85" s="1"/>
      <c r="AO85" s="1"/>
    </row>
    <row r="86" spans="2:41" x14ac:dyDescent="0.25">
      <c r="D86" t="s">
        <v>130</v>
      </c>
      <c r="E86" s="14">
        <f t="shared" ref="E86:J86" ca="1" si="81">QUARTILE(E3:E80,3)-QUARTILE(E3:E80,1)</f>
        <v>24853.25</v>
      </c>
      <c r="F86" s="14">
        <f t="shared" si="81"/>
        <v>42.790482453677441</v>
      </c>
      <c r="G86" s="14">
        <f t="shared" ca="1" si="81"/>
        <v>1.4060860463522569E-7</v>
      </c>
      <c r="H86" s="10">
        <f t="shared" ca="1" si="81"/>
        <v>0.33254935864911678</v>
      </c>
      <c r="I86" s="14">
        <f t="shared" si="81"/>
        <v>1.0218190286233619</v>
      </c>
      <c r="J86" s="14">
        <f t="shared" ca="1" si="81"/>
        <v>0.8741920060550703</v>
      </c>
      <c r="K86" s="10">
        <f ca="1">QUARTILE(K3:K80,3)-QUARTILE(K3:K80,1)</f>
        <v>0.33254935864911772</v>
      </c>
      <c r="L86" s="14">
        <f t="shared" ref="L86:P86" si="82">QUARTILE(L3:L80,3)-QUARTILE(L3:L80,1)</f>
        <v>1.0218190286233617</v>
      </c>
      <c r="M86" s="14">
        <f t="shared" ca="1" si="82"/>
        <v>0.87419200605507041</v>
      </c>
      <c r="N86" s="14">
        <f t="shared" ca="1" si="82"/>
        <v>1.8384453979444366</v>
      </c>
      <c r="O86" s="14">
        <f t="shared" ca="1" si="82"/>
        <v>0.12835473498271166</v>
      </c>
      <c r="P86" s="11">
        <f t="shared" ca="1" si="82"/>
        <v>1.8384453979444348</v>
      </c>
      <c r="AB86" s="2"/>
      <c r="AC86" s="2"/>
      <c r="AD86" s="2"/>
      <c r="AE86" s="2"/>
      <c r="AF86" s="1"/>
      <c r="AI86" s="1"/>
      <c r="AJ86" s="1"/>
      <c r="AK86" s="1"/>
      <c r="AL86" s="1"/>
      <c r="AM86" s="1">
        <f ca="1">MIN(W44,Y44)</f>
        <v>49493261.309999995</v>
      </c>
      <c r="AN86" s="1">
        <f ca="1">Y44-AM86</f>
        <v>499573.26000000536</v>
      </c>
      <c r="AO86" s="1">
        <f ca="1">W44-AM86</f>
        <v>0</v>
      </c>
    </row>
    <row r="87" spans="2:41" s="1" customFormat="1" x14ac:dyDescent="0.25">
      <c r="D87" s="1" t="s">
        <v>134</v>
      </c>
      <c r="E87" s="14">
        <f ca="1">AVERAGE(E3:E80)</f>
        <v>42112.230769230766</v>
      </c>
      <c r="F87" s="14">
        <f t="shared" ref="F87:P87" si="83">AVERAGE(F3:F80)</f>
        <v>1002.4673234201065</v>
      </c>
      <c r="G87" s="14">
        <f t="shared" ca="1" si="83"/>
        <v>1.5490747097007932E-7</v>
      </c>
      <c r="H87" s="10">
        <f t="shared" ref="H87:J87" ca="1" si="84">AVERAGE(H3:H80)</f>
        <v>0</v>
      </c>
      <c r="I87" s="14">
        <f t="shared" si="84"/>
        <v>-6.1124538479162265E-15</v>
      </c>
      <c r="J87" s="14">
        <f t="shared" ca="1" si="84"/>
        <v>-9.1095222533346175E-17</v>
      </c>
      <c r="K87" s="10">
        <f t="shared" ca="1" si="83"/>
        <v>6.6111235220885716</v>
      </c>
      <c r="L87" s="14">
        <f t="shared" si="83"/>
        <v>1.967545452287494</v>
      </c>
      <c r="M87" s="14">
        <f t="shared" ca="1" si="83"/>
        <v>0.89436393555670723</v>
      </c>
      <c r="N87" s="14">
        <f t="shared" ca="1" si="83"/>
        <v>9.4730329099327761</v>
      </c>
      <c r="O87" s="14">
        <f t="shared" ca="1" si="83"/>
        <v>0.53144293139360455</v>
      </c>
      <c r="P87" s="11">
        <f t="shared" ca="1" si="83"/>
        <v>0.19993826871349721</v>
      </c>
      <c r="AB87" s="2"/>
      <c r="AC87" s="2"/>
      <c r="AD87" s="2"/>
      <c r="AE87" s="2"/>
      <c r="AJ87" s="1">
        <f ca="1">MIN(V45,X45)</f>
        <v>19004903</v>
      </c>
      <c r="AK87" s="1">
        <f ca="1">X45-AJ87</f>
        <v>2842571.8599999994</v>
      </c>
      <c r="AL87" s="1">
        <f ca="1">V45-AJ87</f>
        <v>0</v>
      </c>
    </row>
    <row r="88" spans="2:41" s="1" customFormat="1" x14ac:dyDescent="0.25">
      <c r="D88" s="1" t="s">
        <v>133</v>
      </c>
      <c r="E88" s="14">
        <f ca="1">_xlfn.STDEV.P(E3:E80)</f>
        <v>74735.522272419839</v>
      </c>
      <c r="F88" s="14">
        <f>_xlfn.STDEV.P(F3:F80)</f>
        <v>41.876771967465373</v>
      </c>
      <c r="G88" s="14">
        <f ca="1">_xlfn.STDEV.P(G3:G80)</f>
        <v>1.6084407505594135E-7</v>
      </c>
      <c r="H88" s="10">
        <f t="shared" ref="H88:J88" ca="1" si="85">_xlfn.STDEV.P(H3:H80)</f>
        <v>1</v>
      </c>
      <c r="I88" s="14">
        <f t="shared" si="85"/>
        <v>1</v>
      </c>
      <c r="J88" s="14">
        <f t="shared" ca="1" si="85"/>
        <v>0.99999999999999978</v>
      </c>
      <c r="K88" s="10">
        <f t="shared" ref="K88:P88" ca="1" si="86">_xlfn.STDEV.P(K3:K80)</f>
        <v>1.0000000000000142</v>
      </c>
      <c r="L88" s="14">
        <f t="shared" si="86"/>
        <v>1.0000000000000004</v>
      </c>
      <c r="M88" s="14">
        <f t="shared" ca="1" si="86"/>
        <v>1</v>
      </c>
      <c r="N88" s="14">
        <f t="shared" ca="1" si="86"/>
        <v>1.9244540989243397</v>
      </c>
      <c r="O88" s="14">
        <f t="shared" ca="1" si="86"/>
        <v>0.13435960411443904</v>
      </c>
      <c r="P88" s="11">
        <f t="shared" ca="1" si="86"/>
        <v>1.9244540989243542</v>
      </c>
      <c r="AB88" s="2"/>
      <c r="AC88" s="2"/>
      <c r="AD88" s="2"/>
      <c r="AE88" s="2"/>
      <c r="AM88" s="1">
        <f ca="1">MIN(W45,Y45)</f>
        <v>20990711.140000001</v>
      </c>
      <c r="AN88" s="1">
        <f ca="1">Y45-AM88</f>
        <v>0</v>
      </c>
      <c r="AO88" s="1">
        <f ca="1">W45-AM88</f>
        <v>2842571.8599999994</v>
      </c>
    </row>
    <row r="89" spans="2:41" x14ac:dyDescent="0.25">
      <c r="H89" s="10"/>
      <c r="I89" s="14"/>
      <c r="J89" s="14"/>
      <c r="K89" s="10"/>
      <c r="L89" s="14"/>
      <c r="M89" s="14"/>
      <c r="N89" s="14"/>
      <c r="O89" s="14"/>
      <c r="P89" s="11"/>
      <c r="AB89" s="2"/>
      <c r="AC89" s="2"/>
      <c r="AD89" s="2"/>
      <c r="AE89" s="2"/>
      <c r="AF89" s="1"/>
      <c r="AI89" s="1"/>
      <c r="AJ89" s="1">
        <f ca="1">MIN(V46,X46)</f>
        <v>25505298.390000001</v>
      </c>
      <c r="AK89" s="1">
        <f ca="1">X46-AJ89</f>
        <v>0</v>
      </c>
      <c r="AL89" s="1">
        <f ca="1">V46-AJ89</f>
        <v>6282203.6099999994</v>
      </c>
      <c r="AM89" s="1"/>
      <c r="AN89" s="1"/>
      <c r="AO89" s="1"/>
    </row>
    <row r="90" spans="2:41" x14ac:dyDescent="0.25">
      <c r="C90" t="s">
        <v>90</v>
      </c>
      <c r="D90">
        <v>2</v>
      </c>
      <c r="E90">
        <v>8</v>
      </c>
      <c r="F90">
        <v>9</v>
      </c>
      <c r="G90">
        <v>30</v>
      </c>
      <c r="H90" s="10"/>
      <c r="I90" s="14"/>
      <c r="J90" s="14"/>
      <c r="K90" s="10"/>
      <c r="L90" s="14"/>
      <c r="M90" s="14"/>
      <c r="N90" s="14"/>
      <c r="O90" s="14"/>
      <c r="P90" s="11"/>
      <c r="AB90" s="2"/>
      <c r="AC90" s="2"/>
      <c r="AD90" s="2"/>
      <c r="AE90" s="2"/>
      <c r="AF90" s="1"/>
      <c r="AI90" s="1"/>
      <c r="AJ90" s="1"/>
      <c r="AK90" s="1"/>
      <c r="AL90" s="1"/>
      <c r="AM90" s="1">
        <f ca="1">MIN(W46,Y46)</f>
        <v>18222887</v>
      </c>
      <c r="AN90" s="1">
        <f ca="1">Y46-AM90</f>
        <v>6282203.6099999994</v>
      </c>
      <c r="AO90" s="1">
        <f ca="1">W46-AM90</f>
        <v>0</v>
      </c>
    </row>
    <row r="91" spans="2:41" x14ac:dyDescent="0.25">
      <c r="C91" t="s">
        <v>96</v>
      </c>
      <c r="E91">
        <v>1</v>
      </c>
      <c r="F91">
        <v>-1</v>
      </c>
      <c r="G91">
        <v>-1</v>
      </c>
      <c r="H91" s="10"/>
      <c r="I91" s="14"/>
      <c r="J91" s="14"/>
      <c r="K91" s="10"/>
      <c r="L91" s="14"/>
      <c r="M91" s="14"/>
      <c r="N91" s="14"/>
      <c r="O91" s="14"/>
      <c r="P91" s="11"/>
      <c r="AB91" s="2"/>
      <c r="AC91" s="2"/>
      <c r="AD91" s="2"/>
      <c r="AE91" s="2"/>
      <c r="AF91" s="1"/>
      <c r="AJ91" s="1">
        <f ca="1">MIN(V47,X47)</f>
        <v>5160717.03</v>
      </c>
      <c r="AK91" s="1">
        <f ca="1">X47-AJ91</f>
        <v>0</v>
      </c>
      <c r="AL91" s="1">
        <f ca="1">V47-AJ91</f>
        <v>359417.96999999974</v>
      </c>
      <c r="AM91" s="1"/>
      <c r="AN91" s="1"/>
      <c r="AO91" s="1"/>
    </row>
    <row r="92" spans="2:41" x14ac:dyDescent="0.25">
      <c r="C92" t="s">
        <v>122</v>
      </c>
      <c r="E92">
        <v>1</v>
      </c>
      <c r="F92">
        <v>1</v>
      </c>
      <c r="G92">
        <v>1</v>
      </c>
      <c r="H92" s="12"/>
      <c r="I92" s="17"/>
      <c r="J92" s="17"/>
      <c r="K92" s="12"/>
      <c r="L92" s="17"/>
      <c r="M92" s="17"/>
      <c r="N92" s="17"/>
      <c r="O92" s="17"/>
      <c r="P92" s="13"/>
      <c r="AB92" s="2"/>
      <c r="AC92" s="2"/>
      <c r="AD92" s="2"/>
      <c r="AE92" s="2"/>
      <c r="AF92" s="1"/>
      <c r="AJ92" s="1"/>
      <c r="AK92" s="1"/>
      <c r="AL92" s="1"/>
      <c r="AM92" s="1">
        <f ca="1">MIN(W47,Y47)</f>
        <v>4598918</v>
      </c>
      <c r="AN92" s="1">
        <f ca="1">Y47-AM92</f>
        <v>359417.96999999974</v>
      </c>
      <c r="AO92" s="1">
        <f ca="1">W47-AM92</f>
        <v>0</v>
      </c>
    </row>
    <row r="93" spans="2:41" x14ac:dyDescent="0.25">
      <c r="F93" s="1"/>
      <c r="G93" s="1"/>
      <c r="AJ93" s="1">
        <f ca="1">MIN(V48,X48)</f>
        <v>312048.59999999998</v>
      </c>
      <c r="AK93" s="1">
        <f ca="1">X48-AJ93</f>
        <v>0</v>
      </c>
      <c r="AL93" s="1">
        <f ca="1">V48-AJ93</f>
        <v>190676.40000000002</v>
      </c>
      <c r="AM93" s="1"/>
      <c r="AN93" s="1"/>
      <c r="AO93" s="1"/>
    </row>
    <row r="94" spans="2:41" x14ac:dyDescent="0.25">
      <c r="AJ94" s="1"/>
      <c r="AK94" s="1"/>
      <c r="AL94" s="1"/>
      <c r="AM94" s="1">
        <f ca="1">MIN(W48,Y48)</f>
        <v>109135</v>
      </c>
      <c r="AN94" s="1">
        <f ca="1">Y48-AM94</f>
        <v>190676.40000000002</v>
      </c>
      <c r="AO94" s="1">
        <f ca="1">W48-AM94</f>
        <v>0</v>
      </c>
    </row>
    <row r="95" spans="2:41" x14ac:dyDescent="0.25">
      <c r="AJ95" s="1">
        <f ca="1">MIN(V49,X49)</f>
        <v>12942208.800000001</v>
      </c>
      <c r="AK95" s="1">
        <f ca="1">X49-AJ95</f>
        <v>0</v>
      </c>
      <c r="AL95" s="1">
        <f ca="1">V49-AJ95</f>
        <v>378291.19999999925</v>
      </c>
      <c r="AM95" s="1"/>
      <c r="AN95" s="1"/>
      <c r="AO95" s="1"/>
    </row>
    <row r="96" spans="2:41" x14ac:dyDescent="0.25">
      <c r="AJ96" s="1"/>
      <c r="AK96" s="1"/>
      <c r="AL96" s="1"/>
      <c r="AM96" s="1">
        <f ca="1">MIN(W49,Y49)</f>
        <v>12056380</v>
      </c>
      <c r="AN96" s="1">
        <f ca="1">Y49-AM96</f>
        <v>378291.19999999925</v>
      </c>
      <c r="AO96" s="1">
        <f ca="1">W49-AM96</f>
        <v>0</v>
      </c>
    </row>
    <row r="97" spans="6:41" x14ac:dyDescent="0.25">
      <c r="AJ97" s="1">
        <f ca="1">MIN(V50,X50)</f>
        <v>20685033</v>
      </c>
      <c r="AK97" s="1">
        <f ca="1">X50-AJ97</f>
        <v>926656.62000000104</v>
      </c>
      <c r="AL97" s="1">
        <f ca="1">V50-AJ97</f>
        <v>0</v>
      </c>
      <c r="AM97" s="1"/>
      <c r="AN97" s="1"/>
      <c r="AO97" s="1"/>
    </row>
    <row r="98" spans="6:41" x14ac:dyDescent="0.25">
      <c r="AJ98" s="1"/>
      <c r="AK98" s="1"/>
      <c r="AL98" s="1"/>
      <c r="AM98" s="1">
        <f ca="1">MIN(W50,Y50)</f>
        <v>20764172.379999999</v>
      </c>
      <c r="AN98" s="1">
        <f ca="1">Y50-AM98</f>
        <v>0</v>
      </c>
      <c r="AO98" s="1">
        <f ca="1">W50-AM98</f>
        <v>926656.62000000104</v>
      </c>
    </row>
    <row r="99" spans="6:41" x14ac:dyDescent="0.25">
      <c r="AJ99" s="1">
        <f ca="1">MIN(V51,X51)</f>
        <v>23272189.440000001</v>
      </c>
      <c r="AK99" s="1">
        <f ca="1">X51-AJ99</f>
        <v>0</v>
      </c>
      <c r="AL99" s="1">
        <f ca="1">V51-AJ99</f>
        <v>1248798.5599999987</v>
      </c>
      <c r="AM99" s="1"/>
      <c r="AN99" s="1"/>
      <c r="AO99" s="1"/>
    </row>
    <row r="100" spans="6:41" x14ac:dyDescent="0.25">
      <c r="F100" s="1"/>
      <c r="G100" s="1"/>
      <c r="H100" s="5"/>
      <c r="AJ100" s="1"/>
      <c r="AK100" s="1"/>
      <c r="AL100" s="1"/>
      <c r="AM100" s="1">
        <f ca="1">MIN(W51,Y51)</f>
        <v>21110756</v>
      </c>
      <c r="AN100" s="1">
        <f ca="1">Y51-AM100</f>
        <v>1248798.5599999987</v>
      </c>
      <c r="AO100" s="1">
        <f ca="1">W51-AM100</f>
        <v>0</v>
      </c>
    </row>
    <row r="101" spans="6:41" x14ac:dyDescent="0.25">
      <c r="F101" s="1"/>
      <c r="G101" s="1"/>
      <c r="H101" s="5"/>
      <c r="AJ101" s="1">
        <f ca="1">MIN(V52,X52)</f>
        <v>4325729.7300000004</v>
      </c>
      <c r="AK101" s="1">
        <f ca="1">X52-AJ101</f>
        <v>0</v>
      </c>
      <c r="AL101" s="1">
        <f ca="1">V52-AJ101</f>
        <v>154947.26999999955</v>
      </c>
      <c r="AM101" s="1"/>
      <c r="AN101" s="1"/>
      <c r="AO101" s="1"/>
    </row>
    <row r="102" spans="6:41" x14ac:dyDescent="0.25">
      <c r="F102" s="1"/>
      <c r="G102" s="1"/>
      <c r="H102" s="5"/>
      <c r="AJ102" s="1"/>
      <c r="AK102" s="1"/>
      <c r="AL102" s="1"/>
      <c r="AM102" s="1">
        <f ca="1">MIN(W52,Y52)</f>
        <v>4001146</v>
      </c>
      <c r="AN102" s="1">
        <f ca="1">Y52-AM102</f>
        <v>154947.26999999955</v>
      </c>
      <c r="AO102" s="1">
        <f ca="1">W52-AM102</f>
        <v>0</v>
      </c>
    </row>
    <row r="103" spans="6:41" x14ac:dyDescent="0.25">
      <c r="F103" s="1"/>
      <c r="I103" s="1"/>
      <c r="AJ103" s="1">
        <f ca="1">MIN(V53,X53)</f>
        <v>10639265.550000001</v>
      </c>
      <c r="AK103" s="1">
        <f ca="1">X53-AJ103</f>
        <v>0</v>
      </c>
      <c r="AL103" s="1">
        <f ca="1">V53-AJ103</f>
        <v>1429559.4499999993</v>
      </c>
      <c r="AM103" s="1"/>
      <c r="AN103" s="1"/>
      <c r="AO103" s="1"/>
    </row>
    <row r="104" spans="6:41" x14ac:dyDescent="0.25">
      <c r="AJ104" s="1"/>
      <c r="AK104" s="1"/>
      <c r="AL104" s="1"/>
      <c r="AM104" s="1">
        <f ca="1">MIN(W53,Y53)</f>
        <v>8792480</v>
      </c>
      <c r="AN104" s="1">
        <f ca="1">Y53-AM104</f>
        <v>1429559.4499999993</v>
      </c>
      <c r="AO104" s="1">
        <f ca="1">W53-AM104</f>
        <v>0</v>
      </c>
    </row>
    <row r="105" spans="6:41" x14ac:dyDescent="0.25">
      <c r="AJ105" s="1">
        <f ca="1">MIN(V54,X54)</f>
        <v>46693134.149999999</v>
      </c>
      <c r="AK105" s="1">
        <f ca="1">X54-AJ105</f>
        <v>0</v>
      </c>
      <c r="AL105" s="1">
        <f ca="1">V54-AJ105</f>
        <v>3838618.8500000015</v>
      </c>
      <c r="AM105" s="1"/>
      <c r="AN105" s="1"/>
      <c r="AO105" s="1"/>
    </row>
    <row r="106" spans="6:41" x14ac:dyDescent="0.25">
      <c r="AJ106" s="1"/>
      <c r="AK106" s="1"/>
      <c r="AL106" s="1"/>
      <c r="AM106" s="1">
        <f ca="1">MIN(W54,Y54)</f>
        <v>41023412</v>
      </c>
      <c r="AN106" s="1">
        <f ca="1">Y54-AM106</f>
        <v>3838618.8500000015</v>
      </c>
      <c r="AO106" s="1">
        <f ca="1">W54-AM106</f>
        <v>0</v>
      </c>
    </row>
    <row r="107" spans="6:41" x14ac:dyDescent="0.25">
      <c r="AJ107" s="1">
        <f ca="1">MIN(V55,X55)</f>
        <v>12734191.02</v>
      </c>
      <c r="AK107" s="1">
        <f ca="1">X55-AJ107</f>
        <v>0</v>
      </c>
      <c r="AL107" s="1">
        <f ca="1">V55-AJ107</f>
        <v>243877.98000000045</v>
      </c>
      <c r="AM107" s="1"/>
      <c r="AN107" s="1"/>
      <c r="AO107" s="1"/>
    </row>
    <row r="108" spans="6:41" x14ac:dyDescent="0.25">
      <c r="AJ108" s="1"/>
      <c r="AK108" s="1"/>
      <c r="AL108" s="1"/>
      <c r="AM108" s="1">
        <f ca="1">MIN(W55,Y55)</f>
        <v>11990933</v>
      </c>
      <c r="AN108" s="1">
        <f ca="1">Y55-AM108</f>
        <v>243877.98000000045</v>
      </c>
      <c r="AO108" s="1">
        <f ca="1">W55-AM108</f>
        <v>0</v>
      </c>
    </row>
    <row r="109" spans="6:41" x14ac:dyDescent="0.25">
      <c r="AJ109" s="1">
        <f ca="1">MIN(V56,X56)</f>
        <v>30376651.620000001</v>
      </c>
      <c r="AK109" s="1">
        <f ca="1">X56-AJ109</f>
        <v>0</v>
      </c>
      <c r="AL109" s="1">
        <f ca="1">V56-AJ109</f>
        <v>1303365.379999999</v>
      </c>
      <c r="AM109" s="1"/>
      <c r="AN109" s="1"/>
      <c r="AO109" s="1"/>
    </row>
    <row r="110" spans="6:41" x14ac:dyDescent="0.25">
      <c r="AJ110" s="1"/>
      <c r="AK110" s="1"/>
      <c r="AL110" s="1"/>
      <c r="AM110" s="1">
        <f ca="1">MIN(W56,Y56)</f>
        <v>27882045</v>
      </c>
      <c r="AN110" s="1">
        <f ca="1">Y56-AM110</f>
        <v>1303365.379999999</v>
      </c>
      <c r="AO110" s="1">
        <f ca="1">W56-AM110</f>
        <v>0</v>
      </c>
    </row>
    <row r="111" spans="6:41" x14ac:dyDescent="0.25">
      <c r="AJ111" s="1">
        <f ca="1">MIN(V57,X57)</f>
        <v>27615568</v>
      </c>
      <c r="AK111" s="1">
        <f ca="1">X57-AJ111</f>
        <v>1317300.1400000006</v>
      </c>
      <c r="AL111" s="1">
        <f ca="1">V57-AJ111</f>
        <v>0</v>
      </c>
      <c r="AM111" s="1"/>
      <c r="AN111" s="1"/>
      <c r="AO111" s="1"/>
    </row>
    <row r="112" spans="6:41" x14ac:dyDescent="0.25">
      <c r="AJ112" s="1"/>
      <c r="AK112" s="1"/>
      <c r="AL112" s="1"/>
      <c r="AM112" s="1">
        <f ca="1">MIN(W57,Y57)</f>
        <v>27798245.859999999</v>
      </c>
      <c r="AN112" s="1">
        <f ca="1">Y57-AM112</f>
        <v>0</v>
      </c>
      <c r="AO112" s="1">
        <f ca="1">W57-AM112</f>
        <v>1317300.1400000006</v>
      </c>
    </row>
    <row r="113" spans="36:41" x14ac:dyDescent="0.25">
      <c r="AJ113" s="1">
        <f ca="1">MIN(V58,X58)</f>
        <v>16684384</v>
      </c>
      <c r="AK113" s="1">
        <f ca="1">X58-AJ113</f>
        <v>781517.14999999851</v>
      </c>
      <c r="AL113" s="1">
        <f ca="1">V58-AJ113</f>
        <v>0</v>
      </c>
      <c r="AM113" s="1"/>
      <c r="AN113" s="1"/>
      <c r="AO113" s="1"/>
    </row>
    <row r="114" spans="36:41" x14ac:dyDescent="0.25">
      <c r="AJ114" s="1"/>
      <c r="AK114" s="1"/>
      <c r="AL114" s="1"/>
      <c r="AM114" s="1">
        <f ca="1">MIN(W58,Y58)</f>
        <v>16780963.850000001</v>
      </c>
      <c r="AN114" s="1">
        <f ca="1">Y58-AM114</f>
        <v>0</v>
      </c>
      <c r="AO114" s="1">
        <f ca="1">W58-AM114</f>
        <v>781517.14999999851</v>
      </c>
    </row>
    <row r="115" spans="36:41" x14ac:dyDescent="0.25">
      <c r="AJ115" s="1">
        <f ca="1">MIN(V59,X59)</f>
        <v>18760769</v>
      </c>
      <c r="AK115" s="1">
        <f ca="1">X59-AJ115</f>
        <v>1116920.1099999994</v>
      </c>
      <c r="AL115" s="1">
        <f ca="1">V59-AJ115</f>
        <v>0</v>
      </c>
      <c r="AM115" s="1"/>
      <c r="AN115" s="1"/>
      <c r="AO115" s="1"/>
    </row>
    <row r="116" spans="36:41" x14ac:dyDescent="0.25">
      <c r="AJ116" s="1"/>
      <c r="AK116" s="1"/>
      <c r="AL116" s="1"/>
      <c r="AM116" s="1">
        <f ca="1">MIN(W59,Y59)</f>
        <v>19098171.890000001</v>
      </c>
      <c r="AN116" s="1">
        <f ca="1">Y59-AM116</f>
        <v>0</v>
      </c>
      <c r="AO116" s="1">
        <f ca="1">W59-AM116</f>
        <v>1116920.1099999994</v>
      </c>
    </row>
    <row r="117" spans="36:41" x14ac:dyDescent="0.25">
      <c r="AJ117" s="1">
        <f ca="1">MIN(V60,X60)</f>
        <v>76637092.079999998</v>
      </c>
      <c r="AK117" s="1">
        <f ca="1">X60-AJ117</f>
        <v>0</v>
      </c>
      <c r="AL117" s="1">
        <f ca="1">V60-AJ117</f>
        <v>1914551.3700000048</v>
      </c>
      <c r="AM117" s="1"/>
      <c r="AN117" s="1"/>
      <c r="AO117" s="1"/>
    </row>
    <row r="118" spans="36:41" x14ac:dyDescent="0.25">
      <c r="AJ118" s="1"/>
      <c r="AK118" s="1"/>
      <c r="AL118" s="1"/>
      <c r="AM118" s="1">
        <f ca="1">MIN(W60,Y60)</f>
        <v>71717164.549999997</v>
      </c>
      <c r="AN118" s="1">
        <f ca="1">Y60-AM118</f>
        <v>1914551.3700000048</v>
      </c>
      <c r="AO118" s="1">
        <f ca="1">W60-AM118</f>
        <v>0</v>
      </c>
    </row>
    <row r="119" spans="36:41" x14ac:dyDescent="0.25">
      <c r="AJ119" s="1">
        <f ca="1">MIN(V61,X61)</f>
        <v>11677930</v>
      </c>
      <c r="AK119" s="1">
        <f ca="1">X61-AJ119</f>
        <v>837663.80000000075</v>
      </c>
      <c r="AL119" s="1">
        <f ca="1">V61-AJ119</f>
        <v>0</v>
      </c>
      <c r="AM119" s="1"/>
      <c r="AN119" s="1"/>
      <c r="AO119" s="1"/>
    </row>
    <row r="120" spans="36:41" x14ac:dyDescent="0.25">
      <c r="AJ120" s="1"/>
      <c r="AK120" s="1"/>
      <c r="AL120" s="1"/>
      <c r="AM120" s="1">
        <f ca="1">MIN(W61,Y61)</f>
        <v>12024786.199999999</v>
      </c>
      <c r="AN120" s="1">
        <f ca="1">Y61-AM120</f>
        <v>0</v>
      </c>
      <c r="AO120" s="1">
        <f ca="1">W61-AM120</f>
        <v>837663.80000000075</v>
      </c>
    </row>
    <row r="121" spans="36:41" x14ac:dyDescent="0.25">
      <c r="AJ121" s="1">
        <f ca="1">MIN(V62,X62)</f>
        <v>25969673</v>
      </c>
      <c r="AK121" s="1">
        <f ca="1">X62-AJ121</f>
        <v>97335.309999998659</v>
      </c>
      <c r="AL121" s="1">
        <f ca="1">V62-AJ121</f>
        <v>0</v>
      </c>
      <c r="AM121" s="1"/>
      <c r="AN121" s="1"/>
      <c r="AO121" s="1"/>
    </row>
    <row r="122" spans="36:41" x14ac:dyDescent="0.25">
      <c r="AJ122" s="1"/>
      <c r="AK122" s="1"/>
      <c r="AL122" s="1"/>
      <c r="AM122" s="1">
        <f ca="1">MIN(W62,Y62)</f>
        <v>25044772.690000001</v>
      </c>
      <c r="AN122" s="1">
        <f ca="1">Y62-AM122</f>
        <v>0</v>
      </c>
      <c r="AO122" s="1">
        <f ca="1">W62-AM122</f>
        <v>97335.309999998659</v>
      </c>
    </row>
    <row r="123" spans="36:41" x14ac:dyDescent="0.25">
      <c r="AJ123" s="1">
        <f ca="1">MIN(V63,X63)</f>
        <v>25614860</v>
      </c>
      <c r="AK123" s="1">
        <f ca="1">X63-AJ123</f>
        <v>2498584.5100000016</v>
      </c>
      <c r="AL123" s="1">
        <f ca="1">V63-AJ123</f>
        <v>0</v>
      </c>
      <c r="AM123" s="1"/>
      <c r="AN123" s="1"/>
      <c r="AO123" s="1"/>
    </row>
    <row r="124" spans="36:41" x14ac:dyDescent="0.25">
      <c r="AJ124" s="1"/>
      <c r="AK124" s="1"/>
      <c r="AL124" s="1"/>
      <c r="AM124" s="1">
        <f ca="1">MIN(W63,Y63)</f>
        <v>27010956.489999998</v>
      </c>
      <c r="AN124" s="1">
        <f ca="1">Y63-AM124</f>
        <v>0</v>
      </c>
      <c r="AO124" s="1">
        <f ca="1">W63-AM124</f>
        <v>2498584.5100000016</v>
      </c>
    </row>
    <row r="125" spans="36:41" x14ac:dyDescent="0.25">
      <c r="AJ125" s="1">
        <f ca="1">MIN(V64,X64)</f>
        <v>63135869.730000004</v>
      </c>
      <c r="AK125" s="1">
        <f ca="1">X64-AJ125</f>
        <v>0</v>
      </c>
      <c r="AL125" s="1">
        <f ca="1">V64-AJ125</f>
        <v>9636489.2699999958</v>
      </c>
      <c r="AM125" s="1"/>
      <c r="AN125" s="1"/>
      <c r="AO125" s="1"/>
    </row>
    <row r="126" spans="36:41" x14ac:dyDescent="0.25">
      <c r="AJ126" s="1"/>
      <c r="AK126" s="1"/>
      <c r="AL126" s="1"/>
      <c r="AM126" s="1">
        <f ca="1">MIN(W64,Y64)</f>
        <v>51023464</v>
      </c>
      <c r="AN126" s="1">
        <f ca="1">Y64-AM126</f>
        <v>9636489.2699999958</v>
      </c>
      <c r="AO126" s="1">
        <f ca="1">W64-AM126</f>
        <v>0</v>
      </c>
    </row>
    <row r="127" spans="36:41" x14ac:dyDescent="0.25">
      <c r="AJ127" s="1">
        <f ca="1">MIN(V65,X65)</f>
        <v>10236002</v>
      </c>
      <c r="AK127" s="1">
        <f ca="1">X65-AJ127</f>
        <v>405750.8200000003</v>
      </c>
      <c r="AL127" s="1">
        <f ca="1">V65-AJ127</f>
        <v>0</v>
      </c>
      <c r="AM127" s="1"/>
      <c r="AN127" s="1"/>
      <c r="AO127" s="1"/>
    </row>
    <row r="128" spans="36:41" x14ac:dyDescent="0.25">
      <c r="AJ128" s="1"/>
      <c r="AK128" s="1"/>
      <c r="AL128" s="1"/>
      <c r="AM128" s="1">
        <f ca="1">MIN(W65,Y65)</f>
        <v>10224429.18</v>
      </c>
      <c r="AN128" s="1">
        <f ca="1">Y65-AM128</f>
        <v>0</v>
      </c>
      <c r="AO128" s="1">
        <f ca="1">W65-AM128</f>
        <v>405750.8200000003</v>
      </c>
    </row>
    <row r="129" spans="36:41" x14ac:dyDescent="0.25">
      <c r="AJ129" s="1">
        <f ca="1">MIN(V66,X66)</f>
        <v>20784308</v>
      </c>
      <c r="AK129" s="1">
        <f ca="1">X66-AJ129</f>
        <v>1064362.3000000007</v>
      </c>
      <c r="AL129" s="1">
        <f ca="1">V66-AJ129</f>
        <v>0</v>
      </c>
      <c r="AM129" s="1"/>
      <c r="AN129" s="1"/>
      <c r="AO129" s="1"/>
    </row>
    <row r="130" spans="36:41" x14ac:dyDescent="0.25">
      <c r="AJ130" s="1"/>
      <c r="AK130" s="1"/>
      <c r="AL130" s="1"/>
      <c r="AM130" s="1">
        <f ca="1">MIN(W66,Y66)</f>
        <v>20991859.699999999</v>
      </c>
      <c r="AN130" s="1">
        <f ca="1">Y66-AM130</f>
        <v>0</v>
      </c>
      <c r="AO130" s="1">
        <f ca="1">W66-AM130</f>
        <v>1064362.3000000007</v>
      </c>
    </row>
    <row r="131" spans="36:41" x14ac:dyDescent="0.25">
      <c r="AJ131" s="1">
        <f ca="1">MIN(V67,X67)</f>
        <v>25837287</v>
      </c>
      <c r="AK131" s="1">
        <f ca="1">X67-AJ131</f>
        <v>789541.6799999997</v>
      </c>
      <c r="AL131" s="1">
        <f ca="1">V67-AJ131</f>
        <v>0</v>
      </c>
      <c r="AM131" s="1"/>
      <c r="AN131" s="1"/>
      <c r="AO131" s="1"/>
    </row>
    <row r="132" spans="36:41" x14ac:dyDescent="0.25">
      <c r="AJ132" s="1"/>
      <c r="AK132" s="1"/>
      <c r="AL132" s="1"/>
      <c r="AM132" s="1">
        <f ca="1">MIN(W67,Y67)</f>
        <v>25582639.32</v>
      </c>
      <c r="AN132" s="1">
        <f ca="1">Y67-AM132</f>
        <v>0</v>
      </c>
      <c r="AO132" s="1">
        <f ca="1">W67-AM132</f>
        <v>789541.6799999997</v>
      </c>
    </row>
    <row r="133" spans="36:41" x14ac:dyDescent="0.25">
      <c r="AJ133" s="1">
        <f ca="1">MIN(V68,X68)</f>
        <v>28532193</v>
      </c>
      <c r="AK133" s="1">
        <f ca="1">X68-AJ133</f>
        <v>2657877.5100000016</v>
      </c>
      <c r="AL133" s="1">
        <f ca="1">V68-AJ133</f>
        <v>0</v>
      </c>
      <c r="AM133" s="1"/>
      <c r="AN133" s="1"/>
      <c r="AO133" s="1"/>
    </row>
    <row r="134" spans="36:41" x14ac:dyDescent="0.25">
      <c r="AJ134" s="1"/>
      <c r="AK134" s="1"/>
      <c r="AL134" s="1"/>
      <c r="AM134" s="1">
        <f ca="1">MIN(W68,Y68)</f>
        <v>29966930.489999998</v>
      </c>
      <c r="AN134" s="1">
        <f ca="1">Y68-AM134</f>
        <v>0</v>
      </c>
      <c r="AO134" s="1">
        <f ca="1">W68-AM134</f>
        <v>2657877.5100000016</v>
      </c>
    </row>
    <row r="135" spans="36:41" x14ac:dyDescent="0.25">
      <c r="AJ135" s="1">
        <f ca="1">MIN(V69,X69)</f>
        <v>17541998</v>
      </c>
      <c r="AK135" s="1">
        <f ca="1">X69-AJ135</f>
        <v>178737.39999999851</v>
      </c>
      <c r="AL135" s="1">
        <f ca="1">V69-AJ135</f>
        <v>0</v>
      </c>
      <c r="AM135" s="1"/>
      <c r="AN135" s="1"/>
      <c r="AO135" s="1"/>
    </row>
    <row r="136" spans="36:41" x14ac:dyDescent="0.25">
      <c r="AJ136" s="1"/>
      <c r="AK136" s="1"/>
      <c r="AL136" s="1"/>
      <c r="AM136" s="1">
        <f ca="1">MIN(W69,Y69)</f>
        <v>17025804.600000001</v>
      </c>
      <c r="AN136" s="1">
        <f ca="1">Y69-AM136</f>
        <v>0</v>
      </c>
      <c r="AO136" s="1">
        <f ca="1">W69-AM136</f>
        <v>178737.39999999851</v>
      </c>
    </row>
    <row r="137" spans="36:41" x14ac:dyDescent="0.25">
      <c r="AJ137" s="1">
        <f ca="1">MIN(V70,X70)</f>
        <v>10683142.59</v>
      </c>
      <c r="AK137" s="1">
        <f ca="1">X70-AJ137</f>
        <v>1200768.2699999996</v>
      </c>
      <c r="AL137" s="1">
        <f ca="1">V70-AJ137</f>
        <v>0</v>
      </c>
      <c r="AM137" s="1"/>
      <c r="AN137" s="1"/>
      <c r="AO137" s="1"/>
    </row>
    <row r="138" spans="36:41" x14ac:dyDescent="0.25">
      <c r="AJ138" s="1"/>
      <c r="AK138" s="1"/>
      <c r="AL138" s="1"/>
      <c r="AM138" s="1">
        <f ca="1">MIN(W70,Y70)</f>
        <v>11417875.140000001</v>
      </c>
      <c r="AN138" s="1">
        <f ca="1">Y70-AM138</f>
        <v>0</v>
      </c>
      <c r="AO138" s="1">
        <f ca="1">W70-AM138</f>
        <v>1200768.2699999996</v>
      </c>
    </row>
    <row r="139" spans="36:41" x14ac:dyDescent="0.25">
      <c r="AJ139" s="1">
        <f ca="1">MIN(V71,X71)</f>
        <v>20347696.440000001</v>
      </c>
      <c r="AK139" s="1">
        <f ca="1">X71-AJ139</f>
        <v>0</v>
      </c>
      <c r="AL139" s="1">
        <f ca="1">V71-AJ139</f>
        <v>706679.55999999866</v>
      </c>
      <c r="AM139" s="1"/>
      <c r="AN139" s="1"/>
      <c r="AO139" s="1"/>
    </row>
    <row r="140" spans="36:41" x14ac:dyDescent="0.25">
      <c r="AJ140" s="1"/>
      <c r="AK140" s="1"/>
      <c r="AL140" s="1"/>
      <c r="AM140" s="1">
        <f ca="1">MIN(W71,Y71)</f>
        <v>18843068</v>
      </c>
      <c r="AN140" s="1">
        <f ca="1">Y71-AM140</f>
        <v>706679.55999999866</v>
      </c>
      <c r="AO140" s="1">
        <f ca="1">W71-AM140</f>
        <v>0</v>
      </c>
    </row>
    <row r="141" spans="36:41" x14ac:dyDescent="0.25">
      <c r="AJ141" s="1">
        <f ca="1">MIN(V72,X72)</f>
        <v>15496727.4</v>
      </c>
      <c r="AK141" s="1">
        <f ca="1">X72-AJ141</f>
        <v>0</v>
      </c>
      <c r="AL141" s="1">
        <f ca="1">V72-AJ141</f>
        <v>1000554.5999999996</v>
      </c>
      <c r="AM141" s="1"/>
      <c r="AN141" s="1"/>
      <c r="AO141" s="1"/>
    </row>
    <row r="142" spans="36:41" x14ac:dyDescent="0.25">
      <c r="AJ142" s="1"/>
      <c r="AK142" s="1"/>
      <c r="AL142" s="1"/>
      <c r="AM142" s="1">
        <f ca="1">MIN(W72,Y72)</f>
        <v>13888458</v>
      </c>
      <c r="AN142" s="1">
        <f ca="1">Y72-AM142</f>
        <v>1000554.5999999996</v>
      </c>
      <c r="AO142" s="1">
        <f ca="1">W72-AM142</f>
        <v>0</v>
      </c>
    </row>
    <row r="143" spans="36:41" x14ac:dyDescent="0.25">
      <c r="AJ143" s="1">
        <f ca="1">MIN(V73,X73)</f>
        <v>19280160</v>
      </c>
      <c r="AK143" s="1">
        <f ca="1">X73-AJ143</f>
        <v>378507.05999999866</v>
      </c>
      <c r="AL143" s="1">
        <f ca="1">V73-AJ143</f>
        <v>0</v>
      </c>
      <c r="AM143" s="1"/>
      <c r="AN143" s="1"/>
      <c r="AO143" s="1"/>
    </row>
    <row r="144" spans="36:41" x14ac:dyDescent="0.25">
      <c r="AJ144" s="1"/>
      <c r="AK144" s="1"/>
      <c r="AL144" s="1"/>
      <c r="AM144" s="1">
        <f ca="1">MIN(W73,Y73)</f>
        <v>18887738.940000001</v>
      </c>
      <c r="AN144" s="1">
        <f ca="1">Y73-AM144</f>
        <v>0</v>
      </c>
      <c r="AO144" s="1">
        <f ca="1">W73-AM144</f>
        <v>378507.05999999866</v>
      </c>
    </row>
    <row r="145" spans="36:41" x14ac:dyDescent="0.25">
      <c r="AJ145" s="1">
        <f ca="1">MIN(V74,X74)</f>
        <v>61752690</v>
      </c>
      <c r="AK145" s="1">
        <f ca="1">X74-AJ145</f>
        <v>6598127.6099999994</v>
      </c>
      <c r="AL145" s="1">
        <f ca="1">V74-AJ145</f>
        <v>0</v>
      </c>
      <c r="AM145" s="1"/>
      <c r="AN145" s="1"/>
      <c r="AO145" s="1"/>
    </row>
    <row r="146" spans="36:41" x14ac:dyDescent="0.25">
      <c r="AJ146" s="1"/>
      <c r="AK146" s="1"/>
      <c r="AL146" s="1"/>
      <c r="AM146" s="1">
        <f ca="1">MIN(W74,Y74)</f>
        <v>65670393.390000001</v>
      </c>
      <c r="AN146" s="1">
        <f ca="1">Y74-AM146</f>
        <v>0</v>
      </c>
      <c r="AO146" s="1">
        <f ca="1">W74-AM146</f>
        <v>6598127.6099999994</v>
      </c>
    </row>
    <row r="147" spans="36:41" x14ac:dyDescent="0.25">
      <c r="AJ147" s="1">
        <f ca="1">MIN(V75,X75)</f>
        <v>39157028.880000003</v>
      </c>
      <c r="AK147" s="1">
        <f ca="1">X75-AJ147</f>
        <v>0</v>
      </c>
      <c r="AL147" s="1">
        <f ca="1">V75-AJ147</f>
        <v>3926835.1199999973</v>
      </c>
      <c r="AM147" s="1"/>
      <c r="AN147" s="1"/>
      <c r="AO147" s="1"/>
    </row>
    <row r="148" spans="36:41" x14ac:dyDescent="0.25">
      <c r="AJ148" s="1"/>
      <c r="AK148" s="1"/>
      <c r="AL148" s="1"/>
      <c r="AM148" s="1">
        <f ca="1">MIN(W75,Y75)</f>
        <v>33694624</v>
      </c>
      <c r="AN148" s="1">
        <f ca="1">Y75-AM148</f>
        <v>3926835.1199999973</v>
      </c>
      <c r="AO148" s="1">
        <f ca="1">W75-AM148</f>
        <v>0</v>
      </c>
    </row>
    <row r="149" spans="36:41" x14ac:dyDescent="0.25">
      <c r="AJ149" s="1">
        <f ca="1">MIN(V76,X76)</f>
        <v>35712314.969999999</v>
      </c>
      <c r="AK149" s="1">
        <f ca="1">X76-AJ149</f>
        <v>0</v>
      </c>
      <c r="AL149" s="1">
        <f ca="1">V76-AJ149</f>
        <v>1441697.0300000012</v>
      </c>
      <c r="AM149" s="1"/>
      <c r="AN149" s="1"/>
      <c r="AO149" s="1"/>
    </row>
    <row r="150" spans="36:41" x14ac:dyDescent="0.25">
      <c r="AJ150" s="1"/>
      <c r="AK150" s="1"/>
      <c r="AL150" s="1"/>
      <c r="AM150" s="1">
        <f ca="1">MIN(W76,Y76)</f>
        <v>32870135</v>
      </c>
      <c r="AN150" s="1">
        <f ca="1">Y76-AM150</f>
        <v>1441697.0300000012</v>
      </c>
      <c r="AO150" s="1">
        <f ca="1">W76-AM150</f>
        <v>0</v>
      </c>
    </row>
    <row r="151" spans="36:41" x14ac:dyDescent="0.25">
      <c r="AJ151" s="1">
        <f ca="1">MIN(V77,X77)</f>
        <v>85849130</v>
      </c>
      <c r="AK151" s="1">
        <f ca="1">X77-AJ151</f>
        <v>7243816.3900000006</v>
      </c>
      <c r="AL151" s="1">
        <f ca="1">V77-AJ151</f>
        <v>0</v>
      </c>
      <c r="AM151" s="1"/>
      <c r="AN151" s="1"/>
      <c r="AO151" s="1"/>
    </row>
    <row r="152" spans="36:41" x14ac:dyDescent="0.25">
      <c r="AJ152" s="1"/>
      <c r="AK152" s="1"/>
      <c r="AL152" s="1"/>
      <c r="AM152" s="1">
        <f ca="1">MIN(W77,Y77)</f>
        <v>89442242.609999999</v>
      </c>
      <c r="AN152" s="1">
        <f ca="1">Y77-AM152</f>
        <v>0</v>
      </c>
      <c r="AO152" s="1">
        <f ca="1">W77-AM152</f>
        <v>7243816.3900000006</v>
      </c>
    </row>
    <row r="153" spans="36:41" x14ac:dyDescent="0.25">
      <c r="AJ153" s="1">
        <f ca="1">MIN(V78,X78)</f>
        <v>186208810.14000002</v>
      </c>
      <c r="AK153" s="1">
        <f ca="1">X78-AJ153</f>
        <v>0</v>
      </c>
      <c r="AL153" s="1">
        <f ca="1">V78-AJ153</f>
        <v>16759282.859999985</v>
      </c>
    </row>
    <row r="154" spans="36:41" x14ac:dyDescent="0.25">
      <c r="AJ154" s="1"/>
      <c r="AK154" s="1"/>
      <c r="AL154" s="1"/>
      <c r="AM154" s="1">
        <f ca="1">MIN(W78,Y78)</f>
        <v>162147221</v>
      </c>
      <c r="AN154" s="1">
        <f ca="1">Y78-AM154</f>
        <v>16759282.859999985</v>
      </c>
      <c r="AO154" s="1">
        <f ca="1">W78-AM154</f>
        <v>0</v>
      </c>
    </row>
    <row r="155" spans="36:41" x14ac:dyDescent="0.25">
      <c r="AJ155" s="1">
        <f ca="1">MIN(V79,X79)</f>
        <v>85114294.739999995</v>
      </c>
      <c r="AK155" s="1">
        <f ca="1">X79-AJ155</f>
        <v>0</v>
      </c>
      <c r="AL155" s="1">
        <f ca="1">V79-AJ155</f>
        <v>3663759.2600000054</v>
      </c>
    </row>
    <row r="156" spans="36:41" x14ac:dyDescent="0.25">
      <c r="AJ156" s="1"/>
      <c r="AK156" s="1"/>
      <c r="AL156" s="1"/>
      <c r="AM156" s="1">
        <f ca="1">MIN(W79,Y79)</f>
        <v>78112720</v>
      </c>
      <c r="AN156" s="1">
        <f ca="1">Y79-AM156</f>
        <v>3663759.2600000054</v>
      </c>
      <c r="AO156" s="1">
        <f ca="1">W79-AM156</f>
        <v>0</v>
      </c>
    </row>
    <row r="157" spans="36:41" x14ac:dyDescent="0.25">
      <c r="AJ157" s="1">
        <f ca="1">MIN(V80,X80)</f>
        <v>1191514445.901</v>
      </c>
      <c r="AK157" s="1">
        <f ca="1">X80-AJ157</f>
        <v>0</v>
      </c>
      <c r="AL157" s="1">
        <f ca="1">V80-AJ157</f>
        <v>18480055.763499975</v>
      </c>
      <c r="AM157" s="1"/>
      <c r="AN157" s="1"/>
      <c r="AO157" s="1"/>
    </row>
    <row r="158" spans="36:41" x14ac:dyDescent="0.25">
      <c r="AJ158" s="1"/>
      <c r="AK158" s="1"/>
      <c r="AL158" s="1"/>
      <c r="AM158" s="1">
        <f ca="1">MIN(W80,Y80)</f>
        <v>1126308333.4354999</v>
      </c>
      <c r="AN158" s="1">
        <f ca="1">Y80-AM158</f>
        <v>18480055.763499975</v>
      </c>
      <c r="AO158" s="1">
        <f ca="1">W80-AM158</f>
        <v>0</v>
      </c>
    </row>
    <row r="159" spans="36:41" x14ac:dyDescent="0.25">
      <c r="AJ159" s="1">
        <f ca="1">MIN(V81,X81)</f>
        <v>3258170718.0232792</v>
      </c>
      <c r="AK159" s="1">
        <f ca="1">X81-AJ159</f>
        <v>0</v>
      </c>
      <c r="AL159" s="1">
        <f ca="1">V81-AJ159</f>
        <v>9046891.4012212753</v>
      </c>
      <c r="AM159" s="1"/>
      <c r="AN159" s="1"/>
      <c r="AO159" s="1"/>
    </row>
    <row r="160" spans="36:41" x14ac:dyDescent="0.25">
      <c r="AM160" s="1">
        <f ca="1">MIN(W81,Y81)</f>
        <v>2880068448.1554999</v>
      </c>
      <c r="AN160" s="1">
        <f ca="1">Y81-AM160</f>
        <v>9046891.4012212753</v>
      </c>
      <c r="AO160" s="1">
        <f ca="1">W81-AM160</f>
        <v>0</v>
      </c>
    </row>
    <row r="164" spans="36:41" x14ac:dyDescent="0.25">
      <c r="AM164" s="1"/>
      <c r="AN164" s="1"/>
      <c r="AO164" s="1"/>
    </row>
    <row r="165" spans="36:41" x14ac:dyDescent="0.25">
      <c r="AJ165" s="1"/>
      <c r="AK165" s="1"/>
      <c r="AL165" s="1"/>
      <c r="AM165" s="1"/>
      <c r="AN165" s="1"/>
      <c r="AO165" s="1"/>
    </row>
    <row r="166" spans="36:41" x14ac:dyDescent="0.25">
      <c r="AJ166" s="1"/>
      <c r="AK166" s="1"/>
      <c r="AL166" s="1"/>
    </row>
  </sheetData>
  <sheetProtection sort="0"/>
  <sortState ref="A3:B80">
    <sortCondition ref="A3"/>
  </sortState>
  <conditionalFormatting sqref="AH3:AH81">
    <cfRule type="expression" dxfId="0" priority="1">
      <formula>AH3&lt;AG3</formula>
    </cfRule>
  </conditionalFormatting>
  <hyperlinks>
    <hyperlink ref="A1" location="Model!A3:B80" display="Step 3. Sort ascending A3:B80 by column A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Z84"/>
  <sheetViews>
    <sheetView topLeftCell="BW57" zoomScaleNormal="100" workbookViewId="0">
      <pane xSplit="4200" topLeftCell="BR1" activePane="topRight"/>
      <selection activeCell="B34" sqref="B34"/>
      <selection pane="topRight" activeCell="BW83" sqref="BW83"/>
    </sheetView>
  </sheetViews>
  <sheetFormatPr defaultRowHeight="15" x14ac:dyDescent="0.25"/>
  <cols>
    <col min="1" max="1" width="10.85546875" bestFit="1" customWidth="1"/>
    <col min="2" max="2" width="28.5703125" bestFit="1" customWidth="1"/>
    <col min="3" max="4" width="19.42578125" style="1" customWidth="1"/>
    <col min="5" max="6" width="16.140625" style="1" customWidth="1"/>
    <col min="7" max="7" width="16.140625" bestFit="1" customWidth="1"/>
    <col min="8" max="8" width="16.140625" style="1" customWidth="1"/>
    <col min="9" max="9" width="22.42578125" bestFit="1" customWidth="1"/>
    <col min="10" max="10" width="11" bestFit="1" customWidth="1"/>
    <col min="11" max="11" width="10" bestFit="1" customWidth="1"/>
    <col min="12" max="12" width="11" bestFit="1" customWidth="1"/>
    <col min="13" max="13" width="10" bestFit="1" customWidth="1"/>
    <col min="14" max="14" width="11" bestFit="1" customWidth="1"/>
    <col min="15" max="15" width="10" bestFit="1" customWidth="1"/>
    <col min="16" max="16" width="11" bestFit="1" customWidth="1"/>
    <col min="17" max="17" width="10" bestFit="1" customWidth="1"/>
    <col min="18" max="25" width="10" style="1" customWidth="1"/>
    <col min="26" max="26" width="10" bestFit="1" customWidth="1"/>
    <col min="28" max="28" width="9.140625" customWidth="1"/>
    <col min="30" max="30" width="9.140625" customWidth="1"/>
    <col min="32" max="32" width="9.140625" style="1"/>
    <col min="55" max="55" width="9.140625" style="1"/>
    <col min="74" max="74" width="9.140625" style="1"/>
    <col min="77" max="77" width="11" bestFit="1" customWidth="1"/>
  </cols>
  <sheetData>
    <row r="1" spans="1:78" x14ac:dyDescent="0.25">
      <c r="A1" s="85" t="s">
        <v>163</v>
      </c>
      <c r="B1" t="s">
        <v>78</v>
      </c>
      <c r="C1" s="6" t="s">
        <v>83</v>
      </c>
      <c r="D1" s="6"/>
      <c r="E1" s="6" t="s">
        <v>80</v>
      </c>
      <c r="F1" s="6"/>
      <c r="G1" s="6" t="s">
        <v>80</v>
      </c>
      <c r="H1" s="6"/>
      <c r="I1" s="6" t="s">
        <v>81</v>
      </c>
      <c r="J1" s="6" t="s">
        <v>148</v>
      </c>
      <c r="BP1" t="s">
        <v>264</v>
      </c>
      <c r="BX1" t="s">
        <v>270</v>
      </c>
    </row>
    <row r="2" spans="1:78" x14ac:dyDescent="0.25">
      <c r="A2" s="85" t="s">
        <v>149</v>
      </c>
      <c r="B2" t="s">
        <v>79</v>
      </c>
      <c r="C2" s="80">
        <v>2014</v>
      </c>
      <c r="D2" s="80">
        <v>2017</v>
      </c>
      <c r="E2" s="81">
        <v>2014</v>
      </c>
      <c r="F2" s="81">
        <v>2016</v>
      </c>
      <c r="G2" s="80">
        <v>2014</v>
      </c>
      <c r="H2" s="80">
        <v>2016</v>
      </c>
      <c r="I2" s="80">
        <v>2013</v>
      </c>
      <c r="J2" s="80" t="s">
        <v>101</v>
      </c>
      <c r="K2" s="80" t="s">
        <v>101</v>
      </c>
      <c r="L2" s="80" t="s">
        <v>105</v>
      </c>
      <c r="M2" s="80" t="s">
        <v>105</v>
      </c>
      <c r="N2" s="80" t="s">
        <v>106</v>
      </c>
      <c r="O2" s="80" t="s">
        <v>106</v>
      </c>
      <c r="P2" s="80" t="s">
        <v>107</v>
      </c>
      <c r="Q2" s="80" t="s">
        <v>107</v>
      </c>
      <c r="R2" s="80" t="s">
        <v>169</v>
      </c>
      <c r="S2" s="80" t="s">
        <v>169</v>
      </c>
      <c r="T2" s="80" t="s">
        <v>170</v>
      </c>
      <c r="U2" s="80" t="s">
        <v>170</v>
      </c>
      <c r="V2" s="80" t="s">
        <v>171</v>
      </c>
      <c r="W2" s="80" t="s">
        <v>171</v>
      </c>
      <c r="X2" s="80" t="s">
        <v>172</v>
      </c>
      <c r="Y2" s="80" t="s">
        <v>172</v>
      </c>
      <c r="Z2" t="s">
        <v>265</v>
      </c>
      <c r="AA2" s="1" t="s">
        <v>265</v>
      </c>
      <c r="AB2" s="1" t="s">
        <v>265</v>
      </c>
      <c r="AC2" s="1" t="s">
        <v>265</v>
      </c>
      <c r="AK2">
        <v>2014</v>
      </c>
      <c r="AP2">
        <v>2016</v>
      </c>
      <c r="AX2">
        <v>2013</v>
      </c>
      <c r="AY2">
        <v>2014</v>
      </c>
      <c r="AZ2">
        <v>2015</v>
      </c>
      <c r="BA2">
        <v>2016</v>
      </c>
      <c r="BE2" t="s">
        <v>107</v>
      </c>
      <c r="BF2" s="1" t="s">
        <v>107</v>
      </c>
      <c r="BG2" t="s">
        <v>169</v>
      </c>
      <c r="BH2" s="1" t="s">
        <v>169</v>
      </c>
      <c r="BI2" t="s">
        <v>170</v>
      </c>
      <c r="BJ2" s="1" t="s">
        <v>170</v>
      </c>
      <c r="BK2" t="s">
        <v>171</v>
      </c>
      <c r="BL2" s="1" t="s">
        <v>171</v>
      </c>
      <c r="BQ2" t="s">
        <v>171</v>
      </c>
      <c r="BR2" t="s">
        <v>172</v>
      </c>
      <c r="BS2" t="s">
        <v>258</v>
      </c>
      <c r="BT2" t="s">
        <v>259</v>
      </c>
      <c r="BX2" s="108" t="s">
        <v>128</v>
      </c>
      <c r="BY2" t="s">
        <v>77</v>
      </c>
      <c r="BZ2" t="s">
        <v>82</v>
      </c>
    </row>
    <row r="3" spans="1:78" x14ac:dyDescent="0.25">
      <c r="A3" t="s">
        <v>86</v>
      </c>
      <c r="B3" t="s">
        <v>87</v>
      </c>
      <c r="C3" s="6" t="s">
        <v>128</v>
      </c>
      <c r="D3" s="6" t="s">
        <v>128</v>
      </c>
      <c r="E3" s="6" t="s">
        <v>77</v>
      </c>
      <c r="F3" s="6" t="s">
        <v>77</v>
      </c>
      <c r="G3" s="6" t="s">
        <v>82</v>
      </c>
      <c r="H3" s="6" t="s">
        <v>82</v>
      </c>
      <c r="I3" s="6" t="s">
        <v>84</v>
      </c>
      <c r="J3" s="6" t="s">
        <v>102</v>
      </c>
      <c r="K3" s="6" t="s">
        <v>103</v>
      </c>
      <c r="L3" s="6" t="s">
        <v>102</v>
      </c>
      <c r="M3" s="6" t="s">
        <v>103</v>
      </c>
      <c r="N3" s="6" t="s">
        <v>102</v>
      </c>
      <c r="O3" s="6" t="s">
        <v>103</v>
      </c>
      <c r="P3" s="6" t="s">
        <v>102</v>
      </c>
      <c r="Q3" s="6" t="s">
        <v>103</v>
      </c>
      <c r="R3" s="6" t="s">
        <v>102</v>
      </c>
      <c r="S3" s="6" t="s">
        <v>103</v>
      </c>
      <c r="T3" s="6" t="s">
        <v>102</v>
      </c>
      <c r="U3" s="6" t="s">
        <v>103</v>
      </c>
      <c r="V3" s="6" t="s">
        <v>102</v>
      </c>
      <c r="W3" s="6" t="s">
        <v>103</v>
      </c>
      <c r="X3" s="6" t="s">
        <v>102</v>
      </c>
      <c r="Y3" s="6" t="s">
        <v>103</v>
      </c>
      <c r="Z3" t="s">
        <v>102</v>
      </c>
      <c r="AA3" t="s">
        <v>103</v>
      </c>
      <c r="AB3" t="s">
        <v>112</v>
      </c>
      <c r="AC3" t="s">
        <v>104</v>
      </c>
      <c r="AD3" t="s">
        <v>129</v>
      </c>
      <c r="AE3" s="1" t="s">
        <v>139</v>
      </c>
      <c r="AH3" t="s">
        <v>124</v>
      </c>
      <c r="AI3" t="s">
        <v>250</v>
      </c>
      <c r="AJ3" t="s">
        <v>232</v>
      </c>
      <c r="AK3" t="s">
        <v>233</v>
      </c>
      <c r="AL3" t="s">
        <v>234</v>
      </c>
      <c r="AM3" t="s">
        <v>235</v>
      </c>
      <c r="AN3" t="s">
        <v>236</v>
      </c>
      <c r="AO3" t="s">
        <v>237</v>
      </c>
      <c r="AP3" t="s">
        <v>238</v>
      </c>
      <c r="AQ3" t="s">
        <v>239</v>
      </c>
      <c r="AR3" t="s">
        <v>240</v>
      </c>
      <c r="AS3" t="s">
        <v>241</v>
      </c>
      <c r="AU3" s="1" t="s">
        <v>124</v>
      </c>
      <c r="AV3" s="1" t="s">
        <v>250</v>
      </c>
      <c r="AW3" t="s">
        <v>252</v>
      </c>
      <c r="AX3" t="s">
        <v>128</v>
      </c>
      <c r="AY3" s="1" t="s">
        <v>128</v>
      </c>
      <c r="AZ3" s="1" t="s">
        <v>128</v>
      </c>
      <c r="BA3" s="1" t="s">
        <v>128</v>
      </c>
      <c r="BC3" s="1" t="s">
        <v>124</v>
      </c>
      <c r="BD3" t="s">
        <v>256</v>
      </c>
      <c r="BE3" t="s">
        <v>102</v>
      </c>
      <c r="BF3" t="s">
        <v>103</v>
      </c>
      <c r="BG3" s="1" t="s">
        <v>102</v>
      </c>
      <c r="BH3" s="1" t="s">
        <v>103</v>
      </c>
      <c r="BI3" s="1" t="s">
        <v>102</v>
      </c>
      <c r="BJ3" s="1" t="s">
        <v>103</v>
      </c>
      <c r="BK3" t="s">
        <v>102</v>
      </c>
      <c r="BL3" t="s">
        <v>103</v>
      </c>
      <c r="BO3" t="s">
        <v>124</v>
      </c>
      <c r="BQ3" t="s">
        <v>108</v>
      </c>
      <c r="BR3" s="1" t="s">
        <v>108</v>
      </c>
      <c r="BS3" s="1" t="s">
        <v>108</v>
      </c>
      <c r="BT3" t="s">
        <v>108</v>
      </c>
      <c r="BX3" s="1" t="str">
        <f ca="1">BX2&amp;", "&amp;TEXT(BX83,"0.##%")&amp;" National Average Change "</f>
        <v xml:space="preserve">Centreline KM, -0.03% National Average Change </v>
      </c>
      <c r="BY3" s="1" t="str">
        <f ca="1">BY2&amp;", "&amp;TEXT(BY83,"#%")&amp;" National Average Change "</f>
        <v xml:space="preserve">Capital Value, 18% National Average Change </v>
      </c>
      <c r="BZ3" s="1" t="str">
        <f ca="1">BZ2&amp;", "&amp;TEXT(BZ83,"0.#%")&amp;" National Average Change "</f>
        <v xml:space="preserve">Rateable Units, 0.2% National Average Change </v>
      </c>
    </row>
    <row r="4" spans="1:78" x14ac:dyDescent="0.25">
      <c r="A4">
        <v>1</v>
      </c>
      <c r="B4" t="s">
        <v>0</v>
      </c>
      <c r="C4" s="80">
        <v>2545</v>
      </c>
      <c r="D4" s="80">
        <f ca="1">OFFSET($AX$3,AU4,0)</f>
        <v>2544.5</v>
      </c>
      <c r="E4" s="80">
        <v>12884686828</v>
      </c>
      <c r="F4" s="80">
        <f ca="1">OFFSET(AS$3,AH4,0)</f>
        <v>14782531429.5</v>
      </c>
      <c r="G4" s="80">
        <v>36354</v>
      </c>
      <c r="H4" s="80">
        <f ca="1">OFFSET(AP$3,AH4,0)</f>
        <v>36266</v>
      </c>
      <c r="I4" s="82">
        <v>1076.2095074209508</v>
      </c>
      <c r="J4" s="80">
        <v>24592824</v>
      </c>
      <c r="K4" s="80">
        <v>14478139</v>
      </c>
      <c r="L4" s="80">
        <v>25527552</v>
      </c>
      <c r="M4" s="80">
        <v>15071796</v>
      </c>
      <c r="N4" s="80">
        <v>25530890</v>
      </c>
      <c r="O4" s="80">
        <v>14664286</v>
      </c>
      <c r="P4" s="80">
        <v>21993921</v>
      </c>
      <c r="Q4" s="80">
        <v>12317569</v>
      </c>
      <c r="R4" s="80">
        <f ca="1">OFFSET($BE$3,$BC4,0)</f>
        <v>25318137.870000001</v>
      </c>
      <c r="S4" s="80">
        <f ca="1">OFFSET($BE$3,$BC4,1)</f>
        <v>14320618</v>
      </c>
      <c r="T4" s="80">
        <f ca="1">OFFSET($BE$3,$BC4,2)</f>
        <v>26841175.98</v>
      </c>
      <c r="U4" s="80">
        <f ca="1">OFFSET($BE$3,$BC4,3)</f>
        <v>15104726</v>
      </c>
      <c r="V4" s="80">
        <f ca="1">OFFSET($BE$3,$BC4,4)</f>
        <v>34473999.460000001</v>
      </c>
      <c r="W4" s="80">
        <f ca="1">OFFSET($BE$3,$BC4,5)</f>
        <v>21830083</v>
      </c>
      <c r="X4" s="80">
        <f ca="1">OFFSET($BE$3,$BC4,6)</f>
        <v>13502320.689999999</v>
      </c>
      <c r="Y4" s="80">
        <f ca="1">OFFSET($BE$3,$BC4,7)</f>
        <v>8054567</v>
      </c>
      <c r="Z4">
        <f ca="1">SUM(R4,T4,V4,X4)</f>
        <v>100135634</v>
      </c>
      <c r="AA4">
        <f ca="1">SUM(S4,U4,W4,Y4)</f>
        <v>59309994</v>
      </c>
      <c r="AB4" s="3">
        <f ca="1">Z4-AA4</f>
        <v>40825640</v>
      </c>
      <c r="AC4" s="2">
        <f t="shared" ref="AC4:AC35" ca="1" si="0">AA4/Z4</f>
        <v>0.59229658445064626</v>
      </c>
      <c r="AD4">
        <f ca="1">D4/F4</f>
        <v>1.7212884086430551E-7</v>
      </c>
      <c r="AE4" s="1">
        <v>81</v>
      </c>
      <c r="AG4" s="1"/>
      <c r="AH4">
        <f t="shared" ref="AH4:AH67" si="1">MATCH(B4,AJ$4:AJ$81,0)</f>
        <v>1</v>
      </c>
      <c r="AI4">
        <f ca="1">OFFSET(AE$3,MATCH(AJ4,B$4:B$81,0),0)</f>
        <v>81</v>
      </c>
      <c r="AJ4" t="s">
        <v>173</v>
      </c>
      <c r="AK4">
        <v>36354</v>
      </c>
      <c r="AL4">
        <v>13028934950</v>
      </c>
      <c r="AM4">
        <v>522221.14120000042</v>
      </c>
      <c r="AN4">
        <v>12884686827.5</v>
      </c>
      <c r="AO4">
        <v>41487</v>
      </c>
      <c r="AP4">
        <v>36266</v>
      </c>
      <c r="AQ4">
        <v>13228523450</v>
      </c>
      <c r="AR4">
        <v>519417.14120000054</v>
      </c>
      <c r="AS4">
        <v>14782531429.5</v>
      </c>
      <c r="AU4" s="1">
        <f>MATCH(B4,AW$4:AW$81,0)</f>
        <v>11</v>
      </c>
      <c r="AV4" s="1">
        <f ca="1">OFFSET(AE$3,MATCH(AW4,B$4:B$81,0),0)</f>
        <v>91</v>
      </c>
      <c r="AW4" t="s">
        <v>46</v>
      </c>
      <c r="AX4">
        <v>2659.9</v>
      </c>
      <c r="AY4">
        <v>2669.3</v>
      </c>
      <c r="AZ4">
        <v>2646.1</v>
      </c>
      <c r="BA4">
        <v>2617.6999999999998</v>
      </c>
      <c r="BC4" s="1">
        <f>MATCH(B4,BD$4:BD$81,0)</f>
        <v>36</v>
      </c>
      <c r="BD4" t="s">
        <v>3</v>
      </c>
      <c r="BE4">
        <v>727529377.0999999</v>
      </c>
      <c r="BF4">
        <v>373559274</v>
      </c>
      <c r="BG4">
        <v>665059686.85999978</v>
      </c>
      <c r="BH4">
        <v>359793570</v>
      </c>
      <c r="BI4">
        <v>645629075.66999996</v>
      </c>
      <c r="BJ4">
        <v>345287505</v>
      </c>
      <c r="BK4">
        <v>399503631.00000006</v>
      </c>
      <c r="BL4">
        <v>208037080</v>
      </c>
      <c r="BO4" s="1">
        <f>MATCH(B4,BP$4:BP$81,0)</f>
        <v>1</v>
      </c>
      <c r="BP4" t="s">
        <v>0</v>
      </c>
      <c r="BQ4" s="106">
        <v>0.59</v>
      </c>
      <c r="BR4" s="106">
        <v>0.6</v>
      </c>
      <c r="BS4" s="106">
        <v>0.61</v>
      </c>
      <c r="BT4" s="106">
        <v>0.66</v>
      </c>
      <c r="BU4" s="2">
        <f ca="1">OFFSET($BT$3,BO4,0)</f>
        <v>0.66</v>
      </c>
      <c r="BV4" s="2"/>
      <c r="BW4" t="str">
        <f>B4</f>
        <v>Far North District</v>
      </c>
      <c r="BX4" s="107">
        <f ca="1">(D4-C4)/C4</f>
        <v>-1.9646365422396856E-4</v>
      </c>
      <c r="BY4" s="2">
        <f ca="1">(F4-E4)/E4</f>
        <v>0.14729458517965308</v>
      </c>
      <c r="BZ4" s="2">
        <f ca="1">(H4-G4)/G4</f>
        <v>-2.4206414699895471E-3</v>
      </c>
    </row>
    <row r="5" spans="1:78" x14ac:dyDescent="0.25">
      <c r="A5">
        <v>2</v>
      </c>
      <c r="B5" t="s">
        <v>1</v>
      </c>
      <c r="C5" s="80">
        <v>1567</v>
      </c>
      <c r="D5" s="80">
        <f t="shared" ref="D5:D68" ca="1" si="2">OFFSET($AX$3,AU5,0)</f>
        <v>1567.1</v>
      </c>
      <c r="E5" s="80">
        <v>6187497807</v>
      </c>
      <c r="F5" s="80">
        <f t="shared" ref="F5:F68" ca="1" si="3">OFFSET(AS$3,AH5,0)</f>
        <v>7550373410.8371468</v>
      </c>
      <c r="G5" s="80">
        <v>14146</v>
      </c>
      <c r="H5" s="80">
        <f t="shared" ref="H5:H68" ca="1" si="4">OFFSET(AP$3,AH5,0)</f>
        <v>14437</v>
      </c>
      <c r="I5" s="82">
        <v>1020.0784638304916</v>
      </c>
      <c r="J5" s="80">
        <v>16745194</v>
      </c>
      <c r="K5" s="80">
        <v>10403574</v>
      </c>
      <c r="L5" s="80">
        <v>16188473</v>
      </c>
      <c r="M5" s="80">
        <v>9982226</v>
      </c>
      <c r="N5" s="80">
        <v>13720012</v>
      </c>
      <c r="O5" s="80">
        <v>8319308</v>
      </c>
      <c r="P5" s="80">
        <v>10632441</v>
      </c>
      <c r="Q5" s="80">
        <v>6318607</v>
      </c>
      <c r="R5" s="80">
        <f t="shared" ref="R5:R68" ca="1" si="5">OFFSET($BE$3,$BC5,0)</f>
        <v>11376910.230000002</v>
      </c>
      <c r="S5" s="80">
        <f t="shared" ref="S5:S68" ca="1" si="6">OFFSET($BE$3,$BC5,1)</f>
        <v>6782992</v>
      </c>
      <c r="T5" s="80">
        <f t="shared" ref="T5:T68" ca="1" si="7">OFFSET($BE$3,$BC5,2)</f>
        <v>10547081.879999999</v>
      </c>
      <c r="U5" s="80">
        <f t="shared" ref="U5:U68" ca="1" si="8">OFFSET($BE$3,$BC5,3)</f>
        <v>6265839</v>
      </c>
      <c r="V5" s="80">
        <f t="shared" ref="V5:V68" ca="1" si="9">OFFSET($BE$3,$BC5,4)</f>
        <v>19739082.66</v>
      </c>
      <c r="W5" s="80">
        <f t="shared" ref="W5:W68" ca="1" si="10">OFFSET($BE$3,$BC5,5)</f>
        <v>11813509</v>
      </c>
      <c r="X5" s="80">
        <f t="shared" ref="X5:X68" ca="1" si="11">OFFSET($BE$3,$BC5,6)</f>
        <v>8540613.1099999994</v>
      </c>
      <c r="Y5" s="80">
        <f t="shared" ref="Y5:Y68" ca="1" si="12">OFFSET($BE$3,$BC5,7)</f>
        <v>5209774</v>
      </c>
      <c r="Z5">
        <f t="shared" ref="Z5:Z35" si="13">SUM(J5,L5,N5,P5)</f>
        <v>57286120</v>
      </c>
      <c r="AA5">
        <f t="shared" ref="AA5:AA35" si="14">SUM(K5,M5,O5,Q5)</f>
        <v>35023715</v>
      </c>
      <c r="AB5" s="3">
        <f t="shared" ref="AB5:AB68" si="15">Z5-AA5</f>
        <v>22262405</v>
      </c>
      <c r="AC5" s="2">
        <f t="shared" si="0"/>
        <v>0.6113822161459006</v>
      </c>
      <c r="AD5" s="1">
        <f t="shared" ref="AD5:AD68" ca="1" si="16">D5/F5</f>
        <v>2.0755264868764257E-7</v>
      </c>
      <c r="AE5" s="1">
        <v>81</v>
      </c>
      <c r="AH5" s="1">
        <f t="shared" si="1"/>
        <v>3</v>
      </c>
      <c r="AI5" s="1">
        <f t="shared" ref="AI5:AI68" ca="1" si="17">OFFSET(AE$3,MATCH(AJ5,B$4:B$81,0),0)</f>
        <v>81</v>
      </c>
      <c r="AJ5" t="s">
        <v>174</v>
      </c>
      <c r="AK5">
        <v>40272</v>
      </c>
      <c r="AL5">
        <v>17705492150</v>
      </c>
      <c r="AM5">
        <v>223536.0399999994</v>
      </c>
      <c r="AN5">
        <v>17972107799.5</v>
      </c>
      <c r="AO5">
        <v>42248</v>
      </c>
      <c r="AP5">
        <v>40867</v>
      </c>
      <c r="AQ5">
        <v>19325798010</v>
      </c>
      <c r="AR5">
        <v>226766.36999999965</v>
      </c>
      <c r="AS5">
        <v>22033139685.247555</v>
      </c>
      <c r="AU5" s="1">
        <f t="shared" ref="AU5:AU68" si="18">MATCH(B5,AW$4:AW$81,0)</f>
        <v>23</v>
      </c>
      <c r="AV5" s="1">
        <f t="shared" ref="AV5:AV68" ca="1" si="19">OFFSET(AE$3,MATCH(AW5,B$4:B$81,0),0)</f>
        <v>4</v>
      </c>
      <c r="AW5" t="s">
        <v>3</v>
      </c>
      <c r="AX5">
        <v>7221.1</v>
      </c>
      <c r="AY5">
        <v>7289.6999999999989</v>
      </c>
      <c r="AZ5">
        <v>7418.2999999999993</v>
      </c>
      <c r="BA5">
        <v>7344.1999999999989</v>
      </c>
      <c r="BC5" s="1">
        <f t="shared" ref="BC5:BC68" si="20">MATCH(B5,BD$4:BD$81,0)</f>
        <v>37</v>
      </c>
      <c r="BD5" t="s">
        <v>68</v>
      </c>
      <c r="BE5">
        <v>9848198.2400000002</v>
      </c>
      <c r="BF5">
        <v>5033625</v>
      </c>
      <c r="BG5">
        <v>10772769.979999999</v>
      </c>
      <c r="BH5">
        <v>5493272</v>
      </c>
      <c r="BI5">
        <v>12546278.950000001</v>
      </c>
      <c r="BJ5">
        <v>6382647</v>
      </c>
      <c r="BK5">
        <v>6829912.2400000002</v>
      </c>
      <c r="BL5">
        <v>3549192</v>
      </c>
      <c r="BO5" s="1">
        <f t="shared" ref="BO5:BO68" si="21">MATCH(B5,BP$4:BP$81,0)</f>
        <v>2</v>
      </c>
      <c r="BP5" t="s">
        <v>1</v>
      </c>
      <c r="BQ5" s="106">
        <v>0.61</v>
      </c>
      <c r="BR5" s="106">
        <v>0.61</v>
      </c>
      <c r="BS5" s="106">
        <v>0.61</v>
      </c>
      <c r="BT5" s="106">
        <v>0.61</v>
      </c>
      <c r="BU5" s="2">
        <f t="shared" ref="BU5:BU68" ca="1" si="22">OFFSET($BT$3,BO5,0)</f>
        <v>0.61</v>
      </c>
      <c r="BV5" s="2"/>
      <c r="BW5" s="1" t="str">
        <f t="shared" ref="BW5:BW68" si="23">B5</f>
        <v>Kaipara District</v>
      </c>
      <c r="BX5" s="107">
        <f t="shared" ref="BX5:BX68" ca="1" si="24">(D5-C5)/C5</f>
        <v>6.3816209317108514E-5</v>
      </c>
      <c r="BY5" s="2">
        <f t="shared" ref="BY5:BY68" ca="1" si="25">(F5-E5)/E5</f>
        <v>0.22026280191894487</v>
      </c>
      <c r="BZ5" s="2">
        <f t="shared" ref="BZ5:BZ68" ca="1" si="26">(H5-G5)/G5</f>
        <v>2.0571186201046233E-2</v>
      </c>
    </row>
    <row r="6" spans="1:78" x14ac:dyDescent="0.25">
      <c r="A6">
        <v>3</v>
      </c>
      <c r="B6" t="s">
        <v>2</v>
      </c>
      <c r="C6" s="80">
        <v>1779</v>
      </c>
      <c r="D6" s="80">
        <f t="shared" ca="1" si="2"/>
        <v>1778.9</v>
      </c>
      <c r="E6" s="80">
        <v>17972107800</v>
      </c>
      <c r="F6" s="80">
        <f t="shared" ca="1" si="3"/>
        <v>22033139685.247555</v>
      </c>
      <c r="G6" s="80">
        <v>40272</v>
      </c>
      <c r="H6" s="80">
        <f t="shared" ca="1" si="4"/>
        <v>40867</v>
      </c>
      <c r="I6" s="82">
        <v>1021.9225861163833</v>
      </c>
      <c r="J6" s="80">
        <v>21881297</v>
      </c>
      <c r="K6" s="80">
        <v>11947675</v>
      </c>
      <c r="L6" s="80">
        <v>28961958</v>
      </c>
      <c r="M6" s="80">
        <v>16328687</v>
      </c>
      <c r="N6" s="80">
        <v>31918250</v>
      </c>
      <c r="O6" s="80">
        <v>16858050</v>
      </c>
      <c r="P6" s="80">
        <v>34130303</v>
      </c>
      <c r="Q6" s="80">
        <v>17335558</v>
      </c>
      <c r="R6" s="80">
        <f t="shared" ca="1" si="5"/>
        <v>35876589.949999996</v>
      </c>
      <c r="S6" s="80">
        <f t="shared" ca="1" si="6"/>
        <v>18219392</v>
      </c>
      <c r="T6" s="80">
        <f t="shared" ca="1" si="7"/>
        <v>20816266.369999994</v>
      </c>
      <c r="U6" s="80">
        <f t="shared" ca="1" si="8"/>
        <v>10919473</v>
      </c>
      <c r="V6" s="80">
        <f t="shared" ca="1" si="9"/>
        <v>28989922.339999992</v>
      </c>
      <c r="W6" s="80">
        <f t="shared" ca="1" si="10"/>
        <v>15419121</v>
      </c>
      <c r="X6" s="80">
        <f t="shared" ca="1" si="11"/>
        <v>15276939.779999999</v>
      </c>
      <c r="Y6" s="80">
        <f t="shared" ca="1" si="12"/>
        <v>8350388</v>
      </c>
      <c r="Z6">
        <f t="shared" si="13"/>
        <v>116891808</v>
      </c>
      <c r="AA6">
        <f t="shared" si="14"/>
        <v>62469970</v>
      </c>
      <c r="AB6" s="3">
        <f t="shared" si="15"/>
        <v>54421838</v>
      </c>
      <c r="AC6" s="2">
        <f t="shared" si="0"/>
        <v>0.53442556042935019</v>
      </c>
      <c r="AD6" s="1">
        <f t="shared" ca="1" si="16"/>
        <v>8.0737472072174773E-8</v>
      </c>
      <c r="AE6" s="1">
        <v>81</v>
      </c>
      <c r="AH6" s="1">
        <f t="shared" si="1"/>
        <v>2</v>
      </c>
      <c r="AI6" s="1">
        <f t="shared" ca="1" si="17"/>
        <v>81</v>
      </c>
      <c r="AJ6" t="s">
        <v>175</v>
      </c>
      <c r="AK6">
        <v>14146</v>
      </c>
      <c r="AL6">
        <v>6036684150</v>
      </c>
      <c r="AM6">
        <v>254935.15999999986</v>
      </c>
      <c r="AN6">
        <v>6187497807</v>
      </c>
      <c r="AO6">
        <v>41883</v>
      </c>
      <c r="AP6">
        <v>14437</v>
      </c>
      <c r="AQ6">
        <v>6315056550</v>
      </c>
      <c r="AR6">
        <v>254988.30999999991</v>
      </c>
      <c r="AS6">
        <v>7550373410.8371468</v>
      </c>
      <c r="AU6" s="1">
        <f t="shared" si="18"/>
        <v>67</v>
      </c>
      <c r="AV6" s="1">
        <f t="shared" ca="1" si="19"/>
        <v>90</v>
      </c>
      <c r="AW6" t="s">
        <v>54</v>
      </c>
      <c r="AX6">
        <v>601.29999999999995</v>
      </c>
      <c r="AY6">
        <v>604.80000000000007</v>
      </c>
      <c r="AZ6">
        <v>604.80000000000007</v>
      </c>
      <c r="BA6">
        <v>604.80000000000007</v>
      </c>
      <c r="BC6" s="1">
        <f t="shared" si="20"/>
        <v>39</v>
      </c>
      <c r="BD6" t="s">
        <v>14</v>
      </c>
      <c r="BE6">
        <v>470487.46999999991</v>
      </c>
      <c r="BF6">
        <v>313262</v>
      </c>
      <c r="BG6">
        <v>524210.35000000009</v>
      </c>
      <c r="BH6">
        <v>343463</v>
      </c>
      <c r="BI6">
        <v>508396.39999999997</v>
      </c>
      <c r="BJ6">
        <v>323007</v>
      </c>
      <c r="BK6">
        <v>156333.34</v>
      </c>
      <c r="BL6">
        <v>103180</v>
      </c>
      <c r="BO6" s="1">
        <f t="shared" si="21"/>
        <v>4</v>
      </c>
      <c r="BP6" t="s">
        <v>66</v>
      </c>
      <c r="BQ6" s="106">
        <v>0.54</v>
      </c>
      <c r="BR6" s="106">
        <v>0.54</v>
      </c>
      <c r="BS6" s="106">
        <v>0.54</v>
      </c>
      <c r="BT6" s="106">
        <v>0.54</v>
      </c>
      <c r="BU6" s="2">
        <f t="shared" ca="1" si="22"/>
        <v>0.53</v>
      </c>
      <c r="BV6" s="2"/>
      <c r="BW6" s="1" t="str">
        <f t="shared" si="23"/>
        <v>Whangarei District</v>
      </c>
      <c r="BX6" s="107">
        <f t="shared" ca="1" si="24"/>
        <v>-5.6211354693596991E-5</v>
      </c>
      <c r="BY6" s="2">
        <f t="shared" ca="1" si="25"/>
        <v>0.22596302728873877</v>
      </c>
      <c r="BZ6" s="2">
        <f t="shared" ca="1" si="26"/>
        <v>1.4774533174413984E-2</v>
      </c>
    </row>
    <row r="7" spans="1:78" x14ac:dyDescent="0.25">
      <c r="A7">
        <v>4</v>
      </c>
      <c r="B7" t="s">
        <v>3</v>
      </c>
      <c r="C7" s="80">
        <v>7221</v>
      </c>
      <c r="D7" s="80">
        <f t="shared" ca="1" si="2"/>
        <v>7221.1</v>
      </c>
      <c r="E7" s="80">
        <v>453018480633</v>
      </c>
      <c r="F7" s="80">
        <f t="shared" ca="1" si="3"/>
        <v>653237179634</v>
      </c>
      <c r="G7" s="80">
        <v>524102</v>
      </c>
      <c r="H7" s="80">
        <f t="shared" ca="1" si="4"/>
        <v>536198</v>
      </c>
      <c r="I7" s="82">
        <v>998.00934646069493</v>
      </c>
      <c r="J7" s="80">
        <v>557627220.22000003</v>
      </c>
      <c r="K7" s="80">
        <v>290601636.21000004</v>
      </c>
      <c r="L7" s="80">
        <v>551041699.88</v>
      </c>
      <c r="M7" s="80">
        <v>285596106.75999999</v>
      </c>
      <c r="N7" s="80">
        <v>508630641</v>
      </c>
      <c r="O7" s="80">
        <v>262741616.69450003</v>
      </c>
      <c r="P7" s="80">
        <v>719003274</v>
      </c>
      <c r="Q7" s="80">
        <v>371055142</v>
      </c>
      <c r="R7" s="80">
        <f t="shared" ca="1" si="5"/>
        <v>727529377.0999999</v>
      </c>
      <c r="S7" s="80">
        <f t="shared" ca="1" si="6"/>
        <v>373559274</v>
      </c>
      <c r="T7" s="80">
        <f t="shared" ca="1" si="7"/>
        <v>665059686.85999978</v>
      </c>
      <c r="U7" s="80">
        <f t="shared" ca="1" si="8"/>
        <v>359793570</v>
      </c>
      <c r="V7" s="80">
        <f t="shared" ca="1" si="9"/>
        <v>645629075.66999996</v>
      </c>
      <c r="W7" s="80">
        <f t="shared" ca="1" si="10"/>
        <v>345287505</v>
      </c>
      <c r="X7" s="80">
        <f t="shared" ca="1" si="11"/>
        <v>399503631.00000006</v>
      </c>
      <c r="Y7" s="80">
        <f t="shared" ca="1" si="12"/>
        <v>208037080</v>
      </c>
      <c r="Z7">
        <f t="shared" si="13"/>
        <v>2336302835.0999999</v>
      </c>
      <c r="AA7">
        <f t="shared" si="14"/>
        <v>1209994501.6645</v>
      </c>
      <c r="AB7" s="3">
        <f t="shared" si="15"/>
        <v>1126308333.4354999</v>
      </c>
      <c r="AC7" s="2">
        <f t="shared" si="0"/>
        <v>0.51790995734194234</v>
      </c>
      <c r="AD7" s="1">
        <f t="shared" ca="1" si="16"/>
        <v>1.1054330992069198E-8</v>
      </c>
      <c r="AE7" s="1">
        <v>4</v>
      </c>
      <c r="AH7" s="1">
        <f t="shared" si="1"/>
        <v>4</v>
      </c>
      <c r="AI7" s="1">
        <f t="shared" ca="1" si="17"/>
        <v>4</v>
      </c>
      <c r="AJ7" t="s">
        <v>249</v>
      </c>
      <c r="AK7">
        <v>524102</v>
      </c>
      <c r="AL7">
        <v>352331333690</v>
      </c>
      <c r="AM7">
        <v>714989.12210000074</v>
      </c>
      <c r="AN7">
        <v>453018480632.75</v>
      </c>
      <c r="AO7">
        <v>42248</v>
      </c>
      <c r="AP7">
        <v>536198</v>
      </c>
      <c r="AQ7">
        <v>477658871464</v>
      </c>
      <c r="AR7">
        <v>435162.33149999974</v>
      </c>
      <c r="AS7">
        <v>653237179634</v>
      </c>
      <c r="AU7" s="1">
        <f t="shared" si="18"/>
        <v>2</v>
      </c>
      <c r="AV7" s="1">
        <f t="shared" ca="1" si="19"/>
        <v>89</v>
      </c>
      <c r="AW7" t="s">
        <v>34</v>
      </c>
      <c r="AX7">
        <v>443.29999999999995</v>
      </c>
      <c r="AY7">
        <v>444.79999999999995</v>
      </c>
      <c r="AZ7">
        <v>446</v>
      </c>
      <c r="BA7">
        <v>447.4</v>
      </c>
      <c r="BC7" s="1">
        <f t="shared" si="20"/>
        <v>1</v>
      </c>
      <c r="BD7" t="s">
        <v>15</v>
      </c>
      <c r="BE7">
        <v>2399724.5099999998</v>
      </c>
      <c r="BF7">
        <v>1210160</v>
      </c>
      <c r="BG7">
        <v>2327393</v>
      </c>
      <c r="BH7">
        <v>1176405</v>
      </c>
      <c r="BI7">
        <v>2696396.42</v>
      </c>
      <c r="BJ7">
        <v>1379527</v>
      </c>
      <c r="BK7">
        <v>1531678.57</v>
      </c>
      <c r="BL7">
        <v>827804</v>
      </c>
      <c r="BO7" s="1">
        <f t="shared" si="21"/>
        <v>5</v>
      </c>
      <c r="BP7" t="s">
        <v>2</v>
      </c>
      <c r="BQ7" s="106">
        <v>0.54</v>
      </c>
      <c r="BR7" s="106">
        <v>0.53</v>
      </c>
      <c r="BS7" s="106">
        <v>0.53</v>
      </c>
      <c r="BT7" s="106">
        <v>0.53</v>
      </c>
      <c r="BU7" s="2">
        <f t="shared" ca="1" si="22"/>
        <v>0.51</v>
      </c>
      <c r="BV7" s="2"/>
      <c r="BW7" s="1" t="str">
        <f t="shared" si="23"/>
        <v>Auckland</v>
      </c>
      <c r="BX7" s="107">
        <f t="shared" ca="1" si="24"/>
        <v>1.3848497438078354E-5</v>
      </c>
      <c r="BY7" s="2">
        <f t="shared" ca="1" si="25"/>
        <v>0.44196585252159165</v>
      </c>
      <c r="BZ7" s="2">
        <f t="shared" ca="1" si="26"/>
        <v>2.3079476895718772E-2</v>
      </c>
    </row>
    <row r="8" spans="1:78" x14ac:dyDescent="0.25">
      <c r="A8">
        <v>11</v>
      </c>
      <c r="B8" t="s">
        <v>4</v>
      </c>
      <c r="C8" s="80">
        <v>636</v>
      </c>
      <c r="D8" s="80">
        <f t="shared" ca="1" si="2"/>
        <v>636.1</v>
      </c>
      <c r="E8" s="80">
        <v>25879196085</v>
      </c>
      <c r="F8" s="80">
        <f t="shared" ca="1" si="3"/>
        <v>37262578535</v>
      </c>
      <c r="G8" s="80">
        <v>55695</v>
      </c>
      <c r="H8" s="80">
        <f t="shared" ca="1" si="4"/>
        <v>57390</v>
      </c>
      <c r="I8" s="82">
        <v>1011.2324243470257</v>
      </c>
      <c r="J8" s="80">
        <v>21893199</v>
      </c>
      <c r="K8" s="80">
        <v>11097129</v>
      </c>
      <c r="L8" s="80">
        <v>45574060</v>
      </c>
      <c r="M8" s="80">
        <v>24074077</v>
      </c>
      <c r="N8" s="80">
        <v>46782968</v>
      </c>
      <c r="O8" s="80">
        <v>24765631.199999999</v>
      </c>
      <c r="P8" s="80">
        <v>36018581</v>
      </c>
      <c r="Q8" s="80">
        <v>18614806.25</v>
      </c>
      <c r="R8" s="80">
        <f t="shared" ca="1" si="5"/>
        <v>36972708.639999993</v>
      </c>
      <c r="S8" s="80">
        <f t="shared" ca="1" si="6"/>
        <v>13478360</v>
      </c>
      <c r="T8" s="80">
        <f t="shared" ca="1" si="7"/>
        <v>26404591.510000005</v>
      </c>
      <c r="U8" s="80">
        <f t="shared" ca="1" si="8"/>
        <v>9499826</v>
      </c>
      <c r="V8" s="80">
        <f t="shared" ca="1" si="9"/>
        <v>22138032.09</v>
      </c>
      <c r="W8" s="80">
        <f t="shared" ca="1" si="10"/>
        <v>8721222</v>
      </c>
      <c r="X8" s="80">
        <f t="shared" ca="1" si="11"/>
        <v>9084345.7799999993</v>
      </c>
      <c r="Y8" s="80">
        <f t="shared" ca="1" si="12"/>
        <v>4543346</v>
      </c>
      <c r="Z8">
        <f t="shared" si="13"/>
        <v>150268808</v>
      </c>
      <c r="AA8">
        <f t="shared" si="14"/>
        <v>78551643.450000003</v>
      </c>
      <c r="AB8" s="3">
        <f t="shared" si="15"/>
        <v>71717164.549999997</v>
      </c>
      <c r="AC8" s="2">
        <f t="shared" si="0"/>
        <v>0.52274084352888461</v>
      </c>
      <c r="AD8" s="1">
        <f t="shared" ca="1" si="16"/>
        <v>1.7070745638349314E-8</v>
      </c>
      <c r="AE8" s="1">
        <v>83</v>
      </c>
      <c r="AG8" s="1"/>
      <c r="AH8" s="1">
        <f t="shared" si="1"/>
        <v>9</v>
      </c>
      <c r="AI8" s="1">
        <f t="shared" ca="1" si="17"/>
        <v>83</v>
      </c>
      <c r="AJ8" t="s">
        <v>247</v>
      </c>
      <c r="AK8">
        <v>26982</v>
      </c>
      <c r="AL8">
        <v>14236956350</v>
      </c>
      <c r="AM8">
        <v>131732.84470000016</v>
      </c>
      <c r="AN8">
        <v>14453083751</v>
      </c>
      <c r="AO8">
        <v>41821</v>
      </c>
      <c r="AP8">
        <v>27213</v>
      </c>
      <c r="AQ8">
        <v>14813581550</v>
      </c>
      <c r="AR8">
        <v>131429.15470000001</v>
      </c>
      <c r="AS8">
        <v>17465386634.5</v>
      </c>
      <c r="AU8" s="1">
        <f t="shared" si="18"/>
        <v>15</v>
      </c>
      <c r="AV8" s="1">
        <f t="shared" ca="1" si="19"/>
        <v>86</v>
      </c>
      <c r="AW8" t="s">
        <v>20</v>
      </c>
      <c r="AX8">
        <v>1263.0999999999999</v>
      </c>
      <c r="AY8">
        <v>1263.0999999999999</v>
      </c>
      <c r="AZ8">
        <v>1252.5</v>
      </c>
      <c r="BA8">
        <v>1252.5</v>
      </c>
      <c r="BC8" s="1">
        <f t="shared" si="20"/>
        <v>55</v>
      </c>
      <c r="BD8" t="s">
        <v>16</v>
      </c>
      <c r="BE8">
        <v>17081947.809999999</v>
      </c>
      <c r="BF8">
        <v>8620763</v>
      </c>
      <c r="BG8">
        <v>12055921.439999999</v>
      </c>
      <c r="BH8">
        <v>5878089</v>
      </c>
      <c r="BI8">
        <v>9989226.4700000007</v>
      </c>
      <c r="BJ8">
        <v>4792891</v>
      </c>
      <c r="BK8">
        <v>4172815.6799999997</v>
      </c>
      <c r="BL8">
        <v>2128136</v>
      </c>
      <c r="BO8" s="1">
        <f t="shared" si="21"/>
        <v>6</v>
      </c>
      <c r="BP8" t="s">
        <v>3</v>
      </c>
      <c r="BQ8" s="106">
        <v>0.51</v>
      </c>
      <c r="BR8" s="106">
        <v>0.51</v>
      </c>
      <c r="BS8" s="106">
        <v>0.51</v>
      </c>
      <c r="BT8" s="106">
        <v>0.51</v>
      </c>
      <c r="BU8" s="2">
        <f t="shared" ca="1" si="22"/>
        <v>0.51</v>
      </c>
      <c r="BV8" s="2"/>
      <c r="BW8" s="1" t="str">
        <f t="shared" si="23"/>
        <v>Hamilton City</v>
      </c>
      <c r="BX8" s="107">
        <f t="shared" ca="1" si="24"/>
        <v>1.5723270440255147E-4</v>
      </c>
      <c r="BY8" s="2">
        <f t="shared" ca="1" si="25"/>
        <v>0.43986615397987544</v>
      </c>
      <c r="BZ8" s="2">
        <f t="shared" ca="1" si="26"/>
        <v>3.0433611634796659E-2</v>
      </c>
    </row>
    <row r="9" spans="1:78" x14ac:dyDescent="0.25">
      <c r="A9">
        <v>12</v>
      </c>
      <c r="B9" t="s">
        <v>5</v>
      </c>
      <c r="C9" s="80">
        <v>643</v>
      </c>
      <c r="D9" s="80">
        <f t="shared" ca="1" si="2"/>
        <v>642.9</v>
      </c>
      <c r="E9" s="80">
        <v>5147850086</v>
      </c>
      <c r="F9" s="80">
        <f t="shared" ca="1" si="3"/>
        <v>6400835715.5</v>
      </c>
      <c r="G9" s="80">
        <v>11025</v>
      </c>
      <c r="H9" s="80">
        <f t="shared" ca="1" si="4"/>
        <v>10831</v>
      </c>
      <c r="I9" s="82">
        <v>1040.2874231032126</v>
      </c>
      <c r="J9" s="80">
        <v>5506510.9900000002</v>
      </c>
      <c r="K9" s="80">
        <v>2984866.49</v>
      </c>
      <c r="L9" s="80">
        <v>5123074.0199999996</v>
      </c>
      <c r="M9" s="80">
        <v>2806040.6799999997</v>
      </c>
      <c r="N9" s="80">
        <v>5773656</v>
      </c>
      <c r="O9" s="80">
        <v>3168204</v>
      </c>
      <c r="P9" s="80">
        <v>4442235</v>
      </c>
      <c r="Q9" s="80">
        <v>2373282</v>
      </c>
      <c r="R9" s="80">
        <f t="shared" ca="1" si="5"/>
        <v>6174715.0199999986</v>
      </c>
      <c r="S9" s="80">
        <f t="shared" ca="1" si="6"/>
        <v>3569452</v>
      </c>
      <c r="T9" s="80">
        <f t="shared" ca="1" si="7"/>
        <v>4844796.3699999982</v>
      </c>
      <c r="U9" s="80">
        <f t="shared" ca="1" si="8"/>
        <v>2616367</v>
      </c>
      <c r="V9" s="80">
        <f t="shared" ca="1" si="9"/>
        <v>5699486.5600000005</v>
      </c>
      <c r="W9" s="80">
        <f t="shared" ca="1" si="10"/>
        <v>3058242</v>
      </c>
      <c r="X9" s="80">
        <f t="shared" ca="1" si="11"/>
        <v>1044105.35</v>
      </c>
      <c r="Y9" s="80">
        <f t="shared" ca="1" si="12"/>
        <v>584699</v>
      </c>
      <c r="Z9">
        <f t="shared" si="13"/>
        <v>20845476.009999998</v>
      </c>
      <c r="AA9">
        <f t="shared" si="14"/>
        <v>11332393.17</v>
      </c>
      <c r="AB9" s="3">
        <f t="shared" si="15"/>
        <v>9513082.839999998</v>
      </c>
      <c r="AC9" s="2">
        <f t="shared" si="0"/>
        <v>0.54363801357012054</v>
      </c>
      <c r="AD9" s="1">
        <f t="shared" ca="1" si="16"/>
        <v>1.0044000948863284E-7</v>
      </c>
      <c r="AE9" s="1">
        <v>83</v>
      </c>
      <c r="AH9" s="1">
        <f t="shared" si="1"/>
        <v>6</v>
      </c>
      <c r="AI9" s="1">
        <f t="shared" ca="1" si="17"/>
        <v>83</v>
      </c>
      <c r="AJ9" t="s">
        <v>176</v>
      </c>
      <c r="AK9">
        <v>11025</v>
      </c>
      <c r="AL9">
        <v>4774542300</v>
      </c>
      <c r="AM9">
        <v>115267.64150000004</v>
      </c>
      <c r="AN9">
        <v>5147850086</v>
      </c>
      <c r="AO9">
        <v>42186</v>
      </c>
      <c r="AP9">
        <v>10831</v>
      </c>
      <c r="AQ9">
        <v>5513167200</v>
      </c>
      <c r="AR9">
        <v>126964.94150000004</v>
      </c>
      <c r="AS9">
        <v>6400835715.5</v>
      </c>
      <c r="AU9" s="1">
        <f t="shared" si="18"/>
        <v>17</v>
      </c>
      <c r="AV9" s="1">
        <f t="shared" ca="1" si="19"/>
        <v>93</v>
      </c>
      <c r="AW9" t="s">
        <v>57</v>
      </c>
      <c r="AX9">
        <v>1884.6</v>
      </c>
      <c r="AY9">
        <v>1886.6</v>
      </c>
      <c r="AZ9">
        <v>1890.9</v>
      </c>
      <c r="BA9">
        <v>1893.3000000000002</v>
      </c>
      <c r="BC9" s="1">
        <f t="shared" si="20"/>
        <v>56</v>
      </c>
      <c r="BD9" t="s">
        <v>17</v>
      </c>
      <c r="BE9">
        <v>15377142.029999997</v>
      </c>
      <c r="BF9">
        <v>6974119</v>
      </c>
      <c r="BG9">
        <v>17294308.02</v>
      </c>
      <c r="BH9">
        <v>7866910</v>
      </c>
      <c r="BI9">
        <v>20970647.960000001</v>
      </c>
      <c r="BJ9">
        <v>9862389</v>
      </c>
      <c r="BK9">
        <v>6752588.1800000006</v>
      </c>
      <c r="BL9">
        <v>3175104</v>
      </c>
      <c r="BO9" s="1">
        <f t="shared" si="21"/>
        <v>7</v>
      </c>
      <c r="BP9" t="s">
        <v>4</v>
      </c>
      <c r="BQ9" s="106">
        <v>0.51</v>
      </c>
      <c r="BR9" s="106">
        <v>0.51</v>
      </c>
      <c r="BS9" s="106">
        <v>0.51</v>
      </c>
      <c r="BT9" s="106">
        <v>0.51</v>
      </c>
      <c r="BU9" s="2">
        <f t="shared" ca="1" si="22"/>
        <v>0.6</v>
      </c>
      <c r="BV9" s="2"/>
      <c r="BW9" s="1" t="str">
        <f t="shared" si="23"/>
        <v>Hauraki District</v>
      </c>
      <c r="BX9" s="107">
        <f t="shared" ca="1" si="24"/>
        <v>-1.555209953344055E-4</v>
      </c>
      <c r="BY9" s="2">
        <f t="shared" ca="1" si="25"/>
        <v>0.24339978992542868</v>
      </c>
      <c r="BZ9" s="2">
        <f t="shared" ca="1" si="26"/>
        <v>-1.7596371882086168E-2</v>
      </c>
    </row>
    <row r="10" spans="1:78" x14ac:dyDescent="0.25">
      <c r="A10">
        <v>13</v>
      </c>
      <c r="B10" t="s">
        <v>6</v>
      </c>
      <c r="C10" s="80">
        <v>995</v>
      </c>
      <c r="D10" s="80">
        <f t="shared" ca="1" si="2"/>
        <v>995.69999999999993</v>
      </c>
      <c r="E10" s="80">
        <v>10556407425</v>
      </c>
      <c r="F10" s="80">
        <f t="shared" ca="1" si="3"/>
        <v>13336181840</v>
      </c>
      <c r="G10" s="80">
        <v>14443</v>
      </c>
      <c r="H10" s="80">
        <f t="shared" ca="1" si="4"/>
        <v>14376</v>
      </c>
      <c r="I10" s="82">
        <v>986.98681148176877</v>
      </c>
      <c r="J10" s="80">
        <v>10646834</v>
      </c>
      <c r="K10" s="80">
        <v>5197903</v>
      </c>
      <c r="L10" s="80">
        <v>10722358</v>
      </c>
      <c r="M10" s="80">
        <v>5244203</v>
      </c>
      <c r="N10" s="80">
        <v>10522545</v>
      </c>
      <c r="O10" s="80">
        <v>5137337</v>
      </c>
      <c r="P10" s="80">
        <v>10484125</v>
      </c>
      <c r="Q10" s="80">
        <v>5105590</v>
      </c>
      <c r="R10" s="80">
        <f t="shared" ca="1" si="5"/>
        <v>10722874.92</v>
      </c>
      <c r="S10" s="80">
        <f t="shared" ca="1" si="6"/>
        <v>5204171</v>
      </c>
      <c r="T10" s="80">
        <f t="shared" ca="1" si="7"/>
        <v>10650591.610000001</v>
      </c>
      <c r="U10" s="80">
        <f t="shared" ca="1" si="8"/>
        <v>5158225</v>
      </c>
      <c r="V10" s="80">
        <f t="shared" ca="1" si="9"/>
        <v>10758915.51</v>
      </c>
      <c r="W10" s="80">
        <f t="shared" ca="1" si="10"/>
        <v>5221041</v>
      </c>
      <c r="X10" s="80">
        <f t="shared" ca="1" si="11"/>
        <v>3290835.3</v>
      </c>
      <c r="Y10" s="80">
        <f t="shared" ca="1" si="12"/>
        <v>1678326</v>
      </c>
      <c r="Z10">
        <f t="shared" si="13"/>
        <v>42375862</v>
      </c>
      <c r="AA10">
        <f t="shared" si="14"/>
        <v>20685033</v>
      </c>
      <c r="AB10" s="3">
        <f t="shared" si="15"/>
        <v>21690829</v>
      </c>
      <c r="AC10" s="2">
        <f t="shared" si="0"/>
        <v>0.48813244200200578</v>
      </c>
      <c r="AD10" s="1">
        <f t="shared" ca="1" si="16"/>
        <v>7.4661549455897341E-8</v>
      </c>
      <c r="AE10" s="1">
        <v>83</v>
      </c>
      <c r="AH10" s="1">
        <f t="shared" si="1"/>
        <v>8</v>
      </c>
      <c r="AI10" s="1">
        <f t="shared" ca="1" si="17"/>
        <v>83</v>
      </c>
      <c r="AJ10" t="s">
        <v>177</v>
      </c>
      <c r="AK10">
        <v>29906</v>
      </c>
      <c r="AL10">
        <v>18141662150</v>
      </c>
      <c r="AM10">
        <v>524312.19100000022</v>
      </c>
      <c r="AN10">
        <v>19322034265.5</v>
      </c>
      <c r="AO10">
        <v>41821</v>
      </c>
      <c r="AP10">
        <v>30576</v>
      </c>
      <c r="AQ10">
        <v>19999090415</v>
      </c>
      <c r="AR10">
        <v>521039.94100000022</v>
      </c>
      <c r="AS10">
        <v>25136211871.849998</v>
      </c>
      <c r="AU10" s="1">
        <f t="shared" si="18"/>
        <v>30</v>
      </c>
      <c r="AV10" s="1">
        <f t="shared" ca="1" si="19"/>
        <v>74</v>
      </c>
      <c r="AW10" t="s">
        <v>254</v>
      </c>
      <c r="AX10">
        <v>178.8</v>
      </c>
      <c r="AY10">
        <v>178.9</v>
      </c>
      <c r="AZ10">
        <v>178.9</v>
      </c>
      <c r="BA10">
        <v>178.9</v>
      </c>
      <c r="BC10" s="1">
        <f t="shared" si="20"/>
        <v>57</v>
      </c>
      <c r="BD10" t="s">
        <v>18</v>
      </c>
      <c r="BE10">
        <v>14198216.84</v>
      </c>
      <c r="BF10">
        <v>6661083</v>
      </c>
      <c r="BG10">
        <v>15468364.09</v>
      </c>
      <c r="BH10">
        <v>7310081</v>
      </c>
      <c r="BI10">
        <v>13914293.870000001</v>
      </c>
      <c r="BJ10">
        <v>6533665</v>
      </c>
      <c r="BK10">
        <v>7570573.4700000007</v>
      </c>
      <c r="BL10">
        <v>3709581</v>
      </c>
      <c r="BO10" s="1">
        <f t="shared" si="21"/>
        <v>8</v>
      </c>
      <c r="BP10" t="s">
        <v>5</v>
      </c>
      <c r="BQ10" s="106">
        <v>0.56000000000000005</v>
      </c>
      <c r="BR10" s="106">
        <v>0.56999999999999995</v>
      </c>
      <c r="BS10" s="106">
        <v>0.57999999999999996</v>
      </c>
      <c r="BT10" s="106">
        <v>0.6</v>
      </c>
      <c r="BU10" s="2">
        <f t="shared" ca="1" si="22"/>
        <v>0.51</v>
      </c>
      <c r="BV10" s="2"/>
      <c r="BW10" s="1" t="str">
        <f t="shared" si="23"/>
        <v>Matamata-Piako District</v>
      </c>
      <c r="BX10" s="107">
        <f t="shared" ca="1" si="24"/>
        <v>7.0351758793962989E-4</v>
      </c>
      <c r="BY10" s="2">
        <f t="shared" ca="1" si="25"/>
        <v>0.26332579854931093</v>
      </c>
      <c r="BZ10" s="2">
        <f t="shared" ca="1" si="26"/>
        <v>-4.6389254310046386E-3</v>
      </c>
    </row>
    <row r="11" spans="1:78" x14ac:dyDescent="0.25">
      <c r="A11">
        <v>14</v>
      </c>
      <c r="B11" t="s">
        <v>7</v>
      </c>
      <c r="C11" s="80">
        <v>804</v>
      </c>
      <c r="D11" s="80">
        <f t="shared" ca="1" si="2"/>
        <v>803.9</v>
      </c>
      <c r="E11" s="80">
        <v>3723968003</v>
      </c>
      <c r="F11" s="80">
        <f t="shared" ca="1" si="3"/>
        <v>4176557167.5</v>
      </c>
      <c r="G11" s="80">
        <v>5212</v>
      </c>
      <c r="H11" s="80">
        <f t="shared" ca="1" si="4"/>
        <v>4944</v>
      </c>
      <c r="I11" s="82">
        <v>1004.8161642928122</v>
      </c>
      <c r="J11" s="80">
        <v>4983227</v>
      </c>
      <c r="K11" s="80">
        <v>2678982</v>
      </c>
      <c r="L11" s="80">
        <v>5261060</v>
      </c>
      <c r="M11" s="80">
        <v>2832973</v>
      </c>
      <c r="N11" s="80">
        <v>5300950</v>
      </c>
      <c r="O11" s="80">
        <v>2836850</v>
      </c>
      <c r="P11" s="80">
        <v>4698149</v>
      </c>
      <c r="Q11" s="80">
        <v>2479991</v>
      </c>
      <c r="R11" s="80">
        <f t="shared" ca="1" si="5"/>
        <v>4780407.330000001</v>
      </c>
      <c r="S11" s="80">
        <f t="shared" ca="1" si="6"/>
        <v>2512331</v>
      </c>
      <c r="T11" s="80">
        <f t="shared" ca="1" si="7"/>
        <v>6257563.7199999997</v>
      </c>
      <c r="U11" s="80">
        <f t="shared" ca="1" si="8"/>
        <v>3285492</v>
      </c>
      <c r="V11" s="80">
        <f t="shared" ca="1" si="9"/>
        <v>5698182.1299999999</v>
      </c>
      <c r="W11" s="80">
        <f t="shared" ca="1" si="10"/>
        <v>2979786</v>
      </c>
      <c r="X11" s="80">
        <f t="shared" ca="1" si="11"/>
        <v>3381692.72</v>
      </c>
      <c r="Y11" s="80">
        <f t="shared" ca="1" si="12"/>
        <v>1859931</v>
      </c>
      <c r="Z11">
        <f t="shared" si="13"/>
        <v>20243386</v>
      </c>
      <c r="AA11">
        <f t="shared" si="14"/>
        <v>10828796</v>
      </c>
      <c r="AB11" s="3">
        <f t="shared" si="15"/>
        <v>9414590</v>
      </c>
      <c r="AC11" s="2">
        <f t="shared" si="0"/>
        <v>0.53493007543303284</v>
      </c>
      <c r="AD11" s="1">
        <f t="shared" ca="1" si="16"/>
        <v>1.9247910845218905E-7</v>
      </c>
      <c r="AE11" s="1">
        <v>83</v>
      </c>
      <c r="AH11" s="1">
        <f t="shared" si="1"/>
        <v>11</v>
      </c>
      <c r="AI11" s="1">
        <f t="shared" ca="1" si="17"/>
        <v>83</v>
      </c>
      <c r="AJ11" t="s">
        <v>248</v>
      </c>
      <c r="AK11">
        <v>14443</v>
      </c>
      <c r="AL11">
        <v>9889215000</v>
      </c>
      <c r="AM11">
        <v>151172.35</v>
      </c>
      <c r="AN11">
        <v>10556407425</v>
      </c>
      <c r="AO11">
        <v>42186</v>
      </c>
      <c r="AP11">
        <v>14376</v>
      </c>
      <c r="AQ11">
        <v>12284602800</v>
      </c>
      <c r="AR11">
        <v>153556.09999999998</v>
      </c>
      <c r="AS11">
        <v>13336181840</v>
      </c>
      <c r="AU11" s="1">
        <f t="shared" si="18"/>
        <v>35</v>
      </c>
      <c r="AV11" s="1">
        <f t="shared" ca="1" si="19"/>
        <v>91</v>
      </c>
      <c r="AW11" t="s">
        <v>47</v>
      </c>
      <c r="AX11">
        <v>2332.4</v>
      </c>
      <c r="AY11">
        <v>2341.8000000000002</v>
      </c>
      <c r="AZ11">
        <v>2360</v>
      </c>
      <c r="BA11">
        <v>2379.3000000000002</v>
      </c>
      <c r="BC11" s="1">
        <f t="shared" si="20"/>
        <v>58</v>
      </c>
      <c r="BD11" t="s">
        <v>251</v>
      </c>
      <c r="BE11">
        <v>8571013.2400000002</v>
      </c>
      <c r="BF11">
        <v>4126436</v>
      </c>
      <c r="BG11">
        <v>9810097.75</v>
      </c>
      <c r="BH11">
        <v>4843501</v>
      </c>
      <c r="BI11">
        <v>10272648.98</v>
      </c>
      <c r="BJ11">
        <v>5193910</v>
      </c>
      <c r="BK11">
        <v>5016254.9700000007</v>
      </c>
      <c r="BL11">
        <v>2660695</v>
      </c>
      <c r="BO11" s="1">
        <f t="shared" si="21"/>
        <v>9</v>
      </c>
      <c r="BP11" t="s">
        <v>6</v>
      </c>
      <c r="BQ11" s="106">
        <v>0.51</v>
      </c>
      <c r="BR11" s="106">
        <v>0.51</v>
      </c>
      <c r="BS11" s="106">
        <v>0.51</v>
      </c>
      <c r="BT11" s="106">
        <v>0.51</v>
      </c>
      <c r="BU11" s="2">
        <f t="shared" ca="1" si="22"/>
        <v>0.57999999999999996</v>
      </c>
      <c r="BV11" s="2"/>
      <c r="BW11" s="1" t="str">
        <f t="shared" si="23"/>
        <v>Otorohanga District</v>
      </c>
      <c r="BX11" s="107">
        <f t="shared" ca="1" si="24"/>
        <v>-1.2437810945276461E-4</v>
      </c>
      <c r="BY11" s="2">
        <f t="shared" ca="1" si="25"/>
        <v>0.12153411740793628</v>
      </c>
      <c r="BZ11" s="2">
        <f t="shared" ca="1" si="26"/>
        <v>-5.1419800460475826E-2</v>
      </c>
    </row>
    <row r="12" spans="1:78" x14ac:dyDescent="0.25">
      <c r="A12">
        <v>15</v>
      </c>
      <c r="B12" t="s">
        <v>8</v>
      </c>
      <c r="C12" s="80">
        <v>510</v>
      </c>
      <c r="D12" s="80">
        <f t="shared" ca="1" si="2"/>
        <v>508.9</v>
      </c>
      <c r="E12" s="80">
        <v>4502744864</v>
      </c>
      <c r="F12" s="80">
        <f t="shared" ca="1" si="3"/>
        <v>6564005686</v>
      </c>
      <c r="G12" s="80">
        <v>10130</v>
      </c>
      <c r="H12" s="80">
        <f t="shared" ca="1" si="4"/>
        <v>10010</v>
      </c>
      <c r="I12" s="82">
        <v>1059.7516848107828</v>
      </c>
      <c r="J12" s="80">
        <v>5055331</v>
      </c>
      <c r="K12" s="80">
        <v>2546931</v>
      </c>
      <c r="L12" s="80">
        <v>5090578</v>
      </c>
      <c r="M12" s="80">
        <v>2566102</v>
      </c>
      <c r="N12" s="80">
        <v>5219231</v>
      </c>
      <c r="O12" s="80">
        <v>2622019</v>
      </c>
      <c r="P12" s="80">
        <v>4820740</v>
      </c>
      <c r="Q12" s="80">
        <v>2457831</v>
      </c>
      <c r="R12" s="80">
        <f t="shared" ca="1" si="5"/>
        <v>5080998.01</v>
      </c>
      <c r="S12" s="80">
        <f t="shared" ca="1" si="6"/>
        <v>2572889</v>
      </c>
      <c r="T12" s="80">
        <f t="shared" ca="1" si="7"/>
        <v>5006691.67</v>
      </c>
      <c r="U12" s="80">
        <f t="shared" ca="1" si="8"/>
        <v>2538329</v>
      </c>
      <c r="V12" s="80">
        <f t="shared" ca="1" si="9"/>
        <v>5355982.01</v>
      </c>
      <c r="W12" s="80">
        <f t="shared" ca="1" si="10"/>
        <v>2737589</v>
      </c>
      <c r="X12" s="80">
        <f t="shared" ca="1" si="11"/>
        <v>2400654.7099999995</v>
      </c>
      <c r="Y12" s="80">
        <f t="shared" ca="1" si="12"/>
        <v>1272347</v>
      </c>
      <c r="Z12">
        <f t="shared" si="13"/>
        <v>20185880</v>
      </c>
      <c r="AA12">
        <f t="shared" si="14"/>
        <v>10192883</v>
      </c>
      <c r="AB12" s="3">
        <f t="shared" si="15"/>
        <v>9992997</v>
      </c>
      <c r="AC12" s="2">
        <f t="shared" si="0"/>
        <v>0.50495113415912507</v>
      </c>
      <c r="AD12" s="1">
        <f t="shared" ca="1" si="16"/>
        <v>7.7528878606154207E-8</v>
      </c>
      <c r="AE12" s="1">
        <v>83</v>
      </c>
      <c r="AH12" s="1">
        <f t="shared" si="1"/>
        <v>12</v>
      </c>
      <c r="AI12" s="1">
        <f t="shared" ca="1" si="17"/>
        <v>83</v>
      </c>
      <c r="AJ12" t="s">
        <v>178</v>
      </c>
      <c r="AK12">
        <v>55695</v>
      </c>
      <c r="AL12">
        <v>24433314900</v>
      </c>
      <c r="AM12">
        <v>8100.1646000000101</v>
      </c>
      <c r="AN12">
        <v>25879196084.5</v>
      </c>
      <c r="AO12">
        <v>42248</v>
      </c>
      <c r="AP12">
        <v>57390</v>
      </c>
      <c r="AQ12">
        <v>30808795950</v>
      </c>
      <c r="AR12">
        <v>7976.3740000000034</v>
      </c>
      <c r="AS12">
        <v>37262578535</v>
      </c>
      <c r="AU12" s="1">
        <f t="shared" si="18"/>
        <v>44</v>
      </c>
      <c r="AV12" s="1">
        <f t="shared" ca="1" si="19"/>
        <v>93</v>
      </c>
      <c r="AW12" t="s">
        <v>58</v>
      </c>
      <c r="AX12">
        <v>2918.6000000000004</v>
      </c>
      <c r="AY12">
        <v>2917.2</v>
      </c>
      <c r="AZ12">
        <v>2897.8</v>
      </c>
      <c r="BA12">
        <v>2897.8</v>
      </c>
      <c r="BC12" s="1">
        <f t="shared" si="20"/>
        <v>59</v>
      </c>
      <c r="BD12" t="s">
        <v>46</v>
      </c>
      <c r="BE12">
        <v>9943095.5299999975</v>
      </c>
      <c r="BF12">
        <v>4632838</v>
      </c>
      <c r="BG12">
        <v>10317299.16</v>
      </c>
      <c r="BH12">
        <v>4856583</v>
      </c>
      <c r="BI12">
        <v>10034420.029999999</v>
      </c>
      <c r="BJ12">
        <v>4677285</v>
      </c>
      <c r="BK12">
        <v>5368055.12</v>
      </c>
      <c r="BL12">
        <v>2630347</v>
      </c>
      <c r="BO12" s="1">
        <f t="shared" si="21"/>
        <v>10</v>
      </c>
      <c r="BP12" t="s">
        <v>7</v>
      </c>
      <c r="BQ12" s="106">
        <v>0.55000000000000004</v>
      </c>
      <c r="BR12" s="106">
        <v>0.56000000000000005</v>
      </c>
      <c r="BS12" s="106">
        <v>0.56999999999999995</v>
      </c>
      <c r="BT12" s="106">
        <v>0.57999999999999996</v>
      </c>
      <c r="BU12" s="2">
        <f t="shared" ca="1" si="22"/>
        <v>0.62</v>
      </c>
      <c r="BV12" s="2"/>
      <c r="BW12" s="1" t="str">
        <f t="shared" si="23"/>
        <v>South Waikato District</v>
      </c>
      <c r="BX12" s="107">
        <f t="shared" ca="1" si="24"/>
        <v>-2.1568627450980838E-3</v>
      </c>
      <c r="BY12" s="2">
        <f t="shared" ca="1" si="25"/>
        <v>0.45777872925468954</v>
      </c>
      <c r="BZ12" s="2">
        <f t="shared" ca="1" si="26"/>
        <v>-1.1846001974333662E-2</v>
      </c>
    </row>
    <row r="13" spans="1:78" x14ac:dyDescent="0.25">
      <c r="A13">
        <v>16</v>
      </c>
      <c r="B13" t="s">
        <v>9</v>
      </c>
      <c r="C13" s="80">
        <v>761</v>
      </c>
      <c r="D13" s="80">
        <f t="shared" ca="1" si="2"/>
        <v>761.30000000000007</v>
      </c>
      <c r="E13" s="80">
        <v>13956226507</v>
      </c>
      <c r="F13" s="80">
        <f t="shared" ca="1" si="3"/>
        <v>15303080700</v>
      </c>
      <c r="G13" s="80">
        <v>22647</v>
      </c>
      <c r="H13" s="80">
        <f t="shared" ca="1" si="4"/>
        <v>22349</v>
      </c>
      <c r="I13" s="82">
        <v>1004.3522252160178</v>
      </c>
      <c r="J13" s="80">
        <v>66312932</v>
      </c>
      <c r="K13" s="80">
        <v>34751736.590000004</v>
      </c>
      <c r="L13" s="80">
        <v>24630478</v>
      </c>
      <c r="M13" s="80">
        <v>12692184.100000001</v>
      </c>
      <c r="N13" s="80">
        <v>6274610</v>
      </c>
      <c r="O13" s="80">
        <v>2959466</v>
      </c>
      <c r="P13" s="80">
        <v>4808173</v>
      </c>
      <c r="Q13" s="80">
        <v>2129545</v>
      </c>
      <c r="R13" s="80">
        <f t="shared" ca="1" si="5"/>
        <v>4957542.97</v>
      </c>
      <c r="S13" s="80">
        <f t="shared" ca="1" si="6"/>
        <v>2191588</v>
      </c>
      <c r="T13" s="80">
        <f t="shared" ca="1" si="7"/>
        <v>4734151.6800000006</v>
      </c>
      <c r="U13" s="80">
        <f t="shared" ca="1" si="8"/>
        <v>2067119</v>
      </c>
      <c r="V13" s="80">
        <f t="shared" ca="1" si="9"/>
        <v>4736064.51</v>
      </c>
      <c r="W13" s="80">
        <f t="shared" ca="1" si="10"/>
        <v>2071250</v>
      </c>
      <c r="X13" s="80">
        <f t="shared" ca="1" si="11"/>
        <v>2464328</v>
      </c>
      <c r="Y13" s="80">
        <f t="shared" ca="1" si="12"/>
        <v>1232164</v>
      </c>
      <c r="Z13">
        <f t="shared" si="13"/>
        <v>102026193</v>
      </c>
      <c r="AA13">
        <f t="shared" si="14"/>
        <v>52532931.690000005</v>
      </c>
      <c r="AB13" s="3">
        <f t="shared" si="15"/>
        <v>49493261.309999995</v>
      </c>
      <c r="AC13" s="2">
        <f t="shared" si="0"/>
        <v>0.51489651966137762</v>
      </c>
      <c r="AD13" s="1">
        <f t="shared" ca="1" si="16"/>
        <v>4.9748152997716342E-8</v>
      </c>
      <c r="AE13" s="1">
        <v>83</v>
      </c>
      <c r="AH13" s="1">
        <f t="shared" si="1"/>
        <v>14</v>
      </c>
      <c r="AI13" s="1">
        <f t="shared" ca="1" si="17"/>
        <v>83</v>
      </c>
      <c r="AJ13" t="s">
        <v>179</v>
      </c>
      <c r="AK13">
        <v>20625</v>
      </c>
      <c r="AL13">
        <v>12678030260</v>
      </c>
      <c r="AM13">
        <v>137579.45379999999</v>
      </c>
      <c r="AN13">
        <v>13212972848.700001</v>
      </c>
      <c r="AO13">
        <v>41487</v>
      </c>
      <c r="AP13">
        <v>20920</v>
      </c>
      <c r="AQ13">
        <v>13181254960</v>
      </c>
      <c r="AR13">
        <v>138288.45379999993</v>
      </c>
      <c r="AS13">
        <v>16354460510.5</v>
      </c>
      <c r="AU13" s="1">
        <f t="shared" si="18"/>
        <v>50</v>
      </c>
      <c r="AV13" s="1">
        <f t="shared" ca="1" si="19"/>
        <v>93</v>
      </c>
      <c r="AW13" t="s">
        <v>59</v>
      </c>
      <c r="AX13">
        <v>1767.8</v>
      </c>
      <c r="AY13">
        <v>1762.4</v>
      </c>
      <c r="AZ13">
        <v>1759.6</v>
      </c>
      <c r="BA13">
        <v>1764.1999999999998</v>
      </c>
      <c r="BC13" s="1">
        <f t="shared" si="20"/>
        <v>60</v>
      </c>
      <c r="BD13" t="s">
        <v>47</v>
      </c>
      <c r="BE13">
        <v>158370046.23999998</v>
      </c>
      <c r="BF13">
        <v>112131751</v>
      </c>
      <c r="BG13">
        <v>156214144.28999999</v>
      </c>
      <c r="BH13">
        <v>113645850</v>
      </c>
      <c r="BI13">
        <v>106040508.64</v>
      </c>
      <c r="BJ13">
        <v>70729256</v>
      </c>
      <c r="BK13">
        <v>77724360.739999995</v>
      </c>
      <c r="BL13">
        <v>54845807</v>
      </c>
      <c r="BO13" s="1">
        <f t="shared" si="21"/>
        <v>11</v>
      </c>
      <c r="BP13" t="s">
        <v>8</v>
      </c>
      <c r="BQ13" s="106">
        <v>0.53</v>
      </c>
      <c r="BR13" s="106">
        <v>0.54</v>
      </c>
      <c r="BS13" s="106">
        <v>0.55000000000000004</v>
      </c>
      <c r="BT13" s="106">
        <v>0.62</v>
      </c>
      <c r="BU13" s="2">
        <f t="shared" ca="1" si="22"/>
        <v>0.51</v>
      </c>
      <c r="BV13" s="2"/>
      <c r="BW13" s="1" t="str">
        <f t="shared" si="23"/>
        <v>Taupo District</v>
      </c>
      <c r="BX13" s="107">
        <f t="shared" ca="1" si="24"/>
        <v>3.9421813403425521E-4</v>
      </c>
      <c r="BY13" s="2">
        <f t="shared" ca="1" si="25"/>
        <v>9.650561291223389E-2</v>
      </c>
      <c r="BZ13" s="2">
        <f t="shared" ca="1" si="26"/>
        <v>-1.3158475736300614E-2</v>
      </c>
    </row>
    <row r="14" spans="1:78" x14ac:dyDescent="0.25">
      <c r="A14">
        <v>17</v>
      </c>
      <c r="B14" t="s">
        <v>10</v>
      </c>
      <c r="C14" s="80">
        <v>686</v>
      </c>
      <c r="D14" s="80">
        <f t="shared" ca="1" si="2"/>
        <v>685.59999999999991</v>
      </c>
      <c r="E14" s="80">
        <v>14453083751</v>
      </c>
      <c r="F14" s="80">
        <f t="shared" ca="1" si="3"/>
        <v>17465386634.5</v>
      </c>
      <c r="G14" s="80">
        <v>26982</v>
      </c>
      <c r="H14" s="80">
        <f t="shared" ca="1" si="4"/>
        <v>27213</v>
      </c>
      <c r="I14" s="82">
        <v>1009.5400444288554</v>
      </c>
      <c r="J14" s="80">
        <v>10804463</v>
      </c>
      <c r="K14" s="80">
        <v>4774444</v>
      </c>
      <c r="L14" s="80">
        <v>10312369</v>
      </c>
      <c r="M14" s="80">
        <v>4566094</v>
      </c>
      <c r="N14" s="80">
        <v>11193099</v>
      </c>
      <c r="O14" s="80">
        <v>5001239</v>
      </c>
      <c r="P14" s="80">
        <v>10528255</v>
      </c>
      <c r="Q14" s="80">
        <v>4663126</v>
      </c>
      <c r="R14" s="80">
        <f t="shared" ca="1" si="5"/>
        <v>11313970.49</v>
      </c>
      <c r="S14" s="80">
        <f t="shared" ca="1" si="6"/>
        <v>5004043</v>
      </c>
      <c r="T14" s="80">
        <f t="shared" ca="1" si="7"/>
        <v>10633172.52</v>
      </c>
      <c r="U14" s="80">
        <f t="shared" ca="1" si="8"/>
        <v>4728728</v>
      </c>
      <c r="V14" s="80">
        <f t="shared" ca="1" si="9"/>
        <v>11285792.57</v>
      </c>
      <c r="W14" s="80">
        <f t="shared" ca="1" si="10"/>
        <v>4988358</v>
      </c>
      <c r="X14" s="80">
        <f t="shared" ca="1" si="11"/>
        <v>7191820.1800000006</v>
      </c>
      <c r="Y14" s="80">
        <f t="shared" ca="1" si="12"/>
        <v>3315146</v>
      </c>
      <c r="Z14">
        <f t="shared" si="13"/>
        <v>42838186</v>
      </c>
      <c r="AA14">
        <f t="shared" si="14"/>
        <v>19004903</v>
      </c>
      <c r="AB14" s="3">
        <f t="shared" si="15"/>
        <v>23833283</v>
      </c>
      <c r="AC14" s="2">
        <f t="shared" si="0"/>
        <v>0.4436439722260882</v>
      </c>
      <c r="AD14" s="1">
        <f t="shared" ca="1" si="16"/>
        <v>3.925478515578406E-8</v>
      </c>
      <c r="AE14" s="1">
        <v>83</v>
      </c>
      <c r="AH14" s="1">
        <f t="shared" si="1"/>
        <v>5</v>
      </c>
      <c r="AI14" s="1">
        <f t="shared" ca="1" si="17"/>
        <v>83</v>
      </c>
      <c r="AJ14" t="s">
        <v>180</v>
      </c>
      <c r="AK14">
        <v>5212</v>
      </c>
      <c r="AL14">
        <v>3476099050</v>
      </c>
      <c r="AM14">
        <v>154254.81000000006</v>
      </c>
      <c r="AN14">
        <v>3723968002.5</v>
      </c>
      <c r="AO14">
        <v>41487</v>
      </c>
      <c r="AP14">
        <v>4944</v>
      </c>
      <c r="AQ14">
        <v>3503350450</v>
      </c>
      <c r="AR14">
        <v>152546.96000000008</v>
      </c>
      <c r="AS14">
        <v>4176557167.5</v>
      </c>
      <c r="AU14" s="1">
        <f t="shared" si="18"/>
        <v>52</v>
      </c>
      <c r="AV14" s="1">
        <f t="shared" ca="1" si="19"/>
        <v>81</v>
      </c>
      <c r="AW14" t="s">
        <v>0</v>
      </c>
      <c r="AX14">
        <v>2544.5</v>
      </c>
      <c r="AY14">
        <v>2542.4</v>
      </c>
      <c r="AZ14">
        <v>2547</v>
      </c>
      <c r="BA14">
        <v>2544</v>
      </c>
      <c r="BC14" s="1">
        <f t="shared" si="20"/>
        <v>61</v>
      </c>
      <c r="BD14" t="s">
        <v>74</v>
      </c>
      <c r="BE14">
        <v>40484759.490000002</v>
      </c>
      <c r="BF14">
        <v>21515761</v>
      </c>
      <c r="BG14">
        <v>39286744.849999994</v>
      </c>
      <c r="BH14">
        <v>20282191</v>
      </c>
      <c r="BI14">
        <v>40308369.219999999</v>
      </c>
      <c r="BJ14">
        <v>20803079</v>
      </c>
      <c r="BK14">
        <v>21028307.82</v>
      </c>
      <c r="BL14">
        <v>11059623</v>
      </c>
      <c r="BO14" s="1">
        <f t="shared" si="21"/>
        <v>12</v>
      </c>
      <c r="BP14" t="s">
        <v>9</v>
      </c>
      <c r="BQ14" s="106">
        <v>0.5</v>
      </c>
      <c r="BR14" s="106">
        <v>0.51</v>
      </c>
      <c r="BS14" s="106">
        <v>0.51</v>
      </c>
      <c r="BT14" s="106">
        <v>0.51</v>
      </c>
      <c r="BU14" s="2">
        <f t="shared" ca="1" si="22"/>
        <v>0.51</v>
      </c>
      <c r="BV14" s="2"/>
      <c r="BW14" s="1" t="str">
        <f t="shared" si="23"/>
        <v>Thames-Coromandel District</v>
      </c>
      <c r="BX14" s="107">
        <f t="shared" ca="1" si="24"/>
        <v>-5.8309037900887894E-4</v>
      </c>
      <c r="BY14" s="2">
        <f t="shared" ca="1" si="25"/>
        <v>0.20841938892740317</v>
      </c>
      <c r="BZ14" s="2">
        <f t="shared" ca="1" si="26"/>
        <v>8.561263064265065E-3</v>
      </c>
    </row>
    <row r="15" spans="1:78" x14ac:dyDescent="0.25">
      <c r="A15">
        <v>18</v>
      </c>
      <c r="B15" t="s">
        <v>11</v>
      </c>
      <c r="C15" s="80">
        <v>2414</v>
      </c>
      <c r="D15" s="80">
        <f t="shared" ca="1" si="2"/>
        <v>2414.3000000000002</v>
      </c>
      <c r="E15" s="80">
        <v>19322034266</v>
      </c>
      <c r="F15" s="80">
        <f t="shared" ca="1" si="3"/>
        <v>25136211871.849998</v>
      </c>
      <c r="G15" s="80">
        <v>29906</v>
      </c>
      <c r="H15" s="80">
        <f t="shared" ca="1" si="4"/>
        <v>30576</v>
      </c>
      <c r="I15" s="82">
        <v>1004.4058848299821</v>
      </c>
      <c r="J15" s="80">
        <v>28463040.539999999</v>
      </c>
      <c r="K15" s="80">
        <v>15006873.300000001</v>
      </c>
      <c r="L15" s="80">
        <v>28606298.93</v>
      </c>
      <c r="M15" s="80">
        <v>15144551.559999999</v>
      </c>
      <c r="N15" s="80">
        <v>28841744</v>
      </c>
      <c r="O15" s="80">
        <v>15301360</v>
      </c>
      <c r="P15" s="80">
        <v>27364138</v>
      </c>
      <c r="Q15" s="80">
        <v>14855906</v>
      </c>
      <c r="R15" s="80">
        <f t="shared" ca="1" si="5"/>
        <v>29354203.530000001</v>
      </c>
      <c r="S15" s="80">
        <f t="shared" ca="1" si="6"/>
        <v>15892967</v>
      </c>
      <c r="T15" s="80">
        <f t="shared" ca="1" si="7"/>
        <v>26644033.119999997</v>
      </c>
      <c r="U15" s="80">
        <f t="shared" ca="1" si="8"/>
        <v>14326999</v>
      </c>
      <c r="V15" s="80">
        <f t="shared" ca="1" si="9"/>
        <v>33681179.579999998</v>
      </c>
      <c r="W15" s="80">
        <f t="shared" ca="1" si="10"/>
        <v>18189197</v>
      </c>
      <c r="X15" s="80">
        <f t="shared" ca="1" si="11"/>
        <v>19113539.27</v>
      </c>
      <c r="Y15" s="80">
        <f t="shared" ca="1" si="12"/>
        <v>10319320</v>
      </c>
      <c r="Z15">
        <f t="shared" si="13"/>
        <v>113275221.47</v>
      </c>
      <c r="AA15">
        <f t="shared" si="14"/>
        <v>60308690.859999999</v>
      </c>
      <c r="AB15" s="3">
        <f t="shared" si="15"/>
        <v>52966530.609999999</v>
      </c>
      <c r="AC15" s="2">
        <f t="shared" si="0"/>
        <v>0.53240850097099346</v>
      </c>
      <c r="AD15" s="1">
        <f t="shared" ca="1" si="16"/>
        <v>9.604868117394295E-8</v>
      </c>
      <c r="AE15" s="1">
        <v>83</v>
      </c>
      <c r="AH15" s="1">
        <f t="shared" si="1"/>
        <v>7</v>
      </c>
      <c r="AI15" s="1">
        <f t="shared" ca="1" si="17"/>
        <v>83</v>
      </c>
      <c r="AJ15" t="s">
        <v>181</v>
      </c>
      <c r="AK15">
        <v>10130</v>
      </c>
      <c r="AL15">
        <v>4556444300</v>
      </c>
      <c r="AM15">
        <v>176234.14</v>
      </c>
      <c r="AN15">
        <v>4502744864</v>
      </c>
      <c r="AO15">
        <v>42186</v>
      </c>
      <c r="AP15">
        <v>10010</v>
      </c>
      <c r="AQ15">
        <v>5696055700</v>
      </c>
      <c r="AR15">
        <v>175992.92</v>
      </c>
      <c r="AS15">
        <v>6564005686</v>
      </c>
      <c r="AU15" s="1">
        <f t="shared" si="18"/>
        <v>55</v>
      </c>
      <c r="AV15" s="1">
        <f t="shared" ca="1" si="19"/>
        <v>27</v>
      </c>
      <c r="AW15" t="s">
        <v>19</v>
      </c>
      <c r="AX15">
        <v>1892.6000000000001</v>
      </c>
      <c r="AY15">
        <v>1894</v>
      </c>
      <c r="AZ15">
        <v>1894.3</v>
      </c>
      <c r="BA15">
        <v>1896.7</v>
      </c>
      <c r="BC15" s="1">
        <f t="shared" si="20"/>
        <v>62</v>
      </c>
      <c r="BD15" t="s">
        <v>48</v>
      </c>
      <c r="BE15">
        <v>6378045.8900000006</v>
      </c>
      <c r="BF15">
        <v>3205036</v>
      </c>
      <c r="BG15">
        <v>7512269.5300000003</v>
      </c>
      <c r="BH15">
        <v>4201314</v>
      </c>
      <c r="BI15">
        <v>8222191.5199999996</v>
      </c>
      <c r="BJ15">
        <v>4286976</v>
      </c>
      <c r="BK15">
        <v>2605028.86</v>
      </c>
      <c r="BL15">
        <v>1354615</v>
      </c>
      <c r="BO15" s="1">
        <f t="shared" si="21"/>
        <v>13</v>
      </c>
      <c r="BP15" t="s">
        <v>10</v>
      </c>
      <c r="BQ15" s="106">
        <v>0.46</v>
      </c>
      <c r="BR15" s="106">
        <v>0.47</v>
      </c>
      <c r="BS15" s="106">
        <v>0.48</v>
      </c>
      <c r="BT15" s="106">
        <v>0.51</v>
      </c>
      <c r="BU15" s="2">
        <f t="shared" ca="1" si="22"/>
        <v>0.52</v>
      </c>
      <c r="BV15" s="2"/>
      <c r="BW15" s="1" t="str">
        <f t="shared" si="23"/>
        <v>Waikato District</v>
      </c>
      <c r="BX15" s="107">
        <f t="shared" ca="1" si="24"/>
        <v>1.2427506213760642E-4</v>
      </c>
      <c r="BY15" s="2">
        <f t="shared" ca="1" si="25"/>
        <v>0.30090918615546142</v>
      </c>
      <c r="BZ15" s="2">
        <f t="shared" ca="1" si="26"/>
        <v>2.2403531064000535E-2</v>
      </c>
    </row>
    <row r="16" spans="1:78" x14ac:dyDescent="0.25">
      <c r="A16">
        <v>19</v>
      </c>
      <c r="B16" t="s">
        <v>12</v>
      </c>
      <c r="C16" s="80">
        <v>1071</v>
      </c>
      <c r="D16" s="80">
        <f t="shared" ca="1" si="2"/>
        <v>1070.5</v>
      </c>
      <c r="E16" s="80">
        <v>13212972849</v>
      </c>
      <c r="F16" s="80">
        <f t="shared" ca="1" si="3"/>
        <v>16354460510.5</v>
      </c>
      <c r="G16" s="80">
        <v>20625</v>
      </c>
      <c r="H16" s="80">
        <f t="shared" ca="1" si="4"/>
        <v>20920</v>
      </c>
      <c r="I16" s="82">
        <v>965.15568691688622</v>
      </c>
      <c r="J16" s="80">
        <v>12336991</v>
      </c>
      <c r="K16" s="80">
        <v>6142324</v>
      </c>
      <c r="L16" s="80">
        <v>11593236</v>
      </c>
      <c r="M16" s="80">
        <v>5705276</v>
      </c>
      <c r="N16" s="80">
        <v>15780547</v>
      </c>
      <c r="O16" s="80">
        <v>7781529</v>
      </c>
      <c r="P16" s="80">
        <v>12498694</v>
      </c>
      <c r="Q16" s="80">
        <v>6208158</v>
      </c>
      <c r="R16" s="80">
        <f t="shared" ca="1" si="5"/>
        <v>13075450.370000001</v>
      </c>
      <c r="S16" s="80">
        <f t="shared" ca="1" si="6"/>
        <v>6486454</v>
      </c>
      <c r="T16" s="80">
        <f t="shared" ca="1" si="7"/>
        <v>15298234.830000002</v>
      </c>
      <c r="U16" s="80">
        <f t="shared" ca="1" si="8"/>
        <v>7881081</v>
      </c>
      <c r="V16" s="80">
        <f t="shared" ca="1" si="9"/>
        <v>14526323.859999999</v>
      </c>
      <c r="W16" s="80">
        <f t="shared" ca="1" si="10"/>
        <v>7353227</v>
      </c>
      <c r="X16" s="80">
        <f t="shared" ca="1" si="11"/>
        <v>6617863.46</v>
      </c>
      <c r="Y16" s="80">
        <f t="shared" ca="1" si="12"/>
        <v>3441289</v>
      </c>
      <c r="Z16">
        <f t="shared" si="13"/>
        <v>52209468</v>
      </c>
      <c r="AA16">
        <f t="shared" si="14"/>
        <v>25837287</v>
      </c>
      <c r="AB16" s="3">
        <f t="shared" si="15"/>
        <v>26372181</v>
      </c>
      <c r="AC16" s="2">
        <f t="shared" si="0"/>
        <v>0.49487742338228768</v>
      </c>
      <c r="AD16" s="1">
        <f t="shared" ca="1" si="16"/>
        <v>6.5456148756035729E-8</v>
      </c>
      <c r="AE16" s="1">
        <v>83</v>
      </c>
      <c r="AH16" s="1">
        <f t="shared" si="1"/>
        <v>10</v>
      </c>
      <c r="AI16" s="1">
        <f t="shared" ca="1" si="17"/>
        <v>83</v>
      </c>
      <c r="AJ16" t="s">
        <v>182</v>
      </c>
      <c r="AK16">
        <v>5803</v>
      </c>
      <c r="AL16">
        <v>2906056700</v>
      </c>
      <c r="AM16">
        <v>288089.10000000021</v>
      </c>
      <c r="AN16">
        <v>2889268630</v>
      </c>
      <c r="AO16">
        <v>42248</v>
      </c>
      <c r="AP16">
        <v>5573</v>
      </c>
      <c r="AQ16">
        <v>2973989700</v>
      </c>
      <c r="AR16">
        <v>287309.6500000002</v>
      </c>
      <c r="AS16">
        <v>3021536935</v>
      </c>
      <c r="AU16" s="1">
        <f t="shared" si="18"/>
        <v>58</v>
      </c>
      <c r="AV16" s="1">
        <f t="shared" ca="1" si="19"/>
        <v>94</v>
      </c>
      <c r="AW16" t="s">
        <v>62</v>
      </c>
      <c r="AX16">
        <v>894</v>
      </c>
      <c r="AY16">
        <v>894</v>
      </c>
      <c r="AZ16">
        <v>894</v>
      </c>
      <c r="BA16">
        <v>904</v>
      </c>
      <c r="BC16" s="1">
        <f t="shared" si="20"/>
        <v>64</v>
      </c>
      <c r="BD16" t="s">
        <v>42</v>
      </c>
      <c r="BE16">
        <v>819792.92</v>
      </c>
      <c r="BF16">
        <v>398534</v>
      </c>
      <c r="BG16">
        <v>1610340.39</v>
      </c>
      <c r="BH16">
        <v>786434</v>
      </c>
      <c r="BI16">
        <v>951759.18</v>
      </c>
      <c r="BJ16">
        <v>428827</v>
      </c>
      <c r="BK16">
        <v>343793.60999999993</v>
      </c>
      <c r="BL16">
        <v>161583</v>
      </c>
      <c r="BO16" s="1">
        <f t="shared" si="21"/>
        <v>15</v>
      </c>
      <c r="BP16" t="s">
        <v>11</v>
      </c>
      <c r="BQ16" s="106">
        <v>0.54</v>
      </c>
      <c r="BR16" s="106">
        <v>0.53</v>
      </c>
      <c r="BS16" s="106">
        <v>0.52</v>
      </c>
      <c r="BT16" s="106">
        <v>0.52</v>
      </c>
      <c r="BU16" s="2">
        <f t="shared" ca="1" si="22"/>
        <v>0.51</v>
      </c>
      <c r="BV16" s="2"/>
      <c r="BW16" s="1" t="str">
        <f t="shared" si="23"/>
        <v>Waipa District</v>
      </c>
      <c r="BX16" s="107">
        <f t="shared" ca="1" si="24"/>
        <v>-4.6685340802987864E-4</v>
      </c>
      <c r="BY16" s="2">
        <f t="shared" ca="1" si="25"/>
        <v>0.2377578231183422</v>
      </c>
      <c r="BZ16" s="2">
        <f t="shared" ca="1" si="26"/>
        <v>1.4303030303030304E-2</v>
      </c>
    </row>
    <row r="17" spans="1:78" x14ac:dyDescent="0.25">
      <c r="A17">
        <v>20</v>
      </c>
      <c r="B17" t="s">
        <v>13</v>
      </c>
      <c r="C17" s="80">
        <v>1071</v>
      </c>
      <c r="D17" s="80">
        <f t="shared" ca="1" si="2"/>
        <v>1071</v>
      </c>
      <c r="E17" s="80">
        <v>2889268630</v>
      </c>
      <c r="F17" s="80">
        <f t="shared" ca="1" si="3"/>
        <v>3021536935</v>
      </c>
      <c r="G17" s="80">
        <v>5803</v>
      </c>
      <c r="H17" s="80">
        <f t="shared" ca="1" si="4"/>
        <v>5573</v>
      </c>
      <c r="I17" s="82">
        <v>1051.6662480376765</v>
      </c>
      <c r="J17" s="80">
        <v>7196417</v>
      </c>
      <c r="K17" s="80">
        <v>4229677</v>
      </c>
      <c r="L17" s="80">
        <v>7819862</v>
      </c>
      <c r="M17" s="80">
        <v>4569181</v>
      </c>
      <c r="N17" s="80">
        <v>8254431</v>
      </c>
      <c r="O17" s="80">
        <v>4821031</v>
      </c>
      <c r="P17" s="80">
        <v>7200500</v>
      </c>
      <c r="Q17" s="80">
        <v>4272352</v>
      </c>
      <c r="R17" s="80">
        <f t="shared" ca="1" si="5"/>
        <v>8431947.459999999</v>
      </c>
      <c r="S17" s="80">
        <f t="shared" ca="1" si="6"/>
        <v>5043952</v>
      </c>
      <c r="T17" s="80">
        <f t="shared" ca="1" si="7"/>
        <v>10710180.950000001</v>
      </c>
      <c r="U17" s="80">
        <f t="shared" ca="1" si="8"/>
        <v>6357164</v>
      </c>
      <c r="V17" s="80">
        <f t="shared" ca="1" si="9"/>
        <v>9628624.7100000009</v>
      </c>
      <c r="W17" s="80">
        <f t="shared" ca="1" si="10"/>
        <v>5778606</v>
      </c>
      <c r="X17" s="80">
        <f t="shared" ca="1" si="11"/>
        <v>4376789.3100000005</v>
      </c>
      <c r="Y17" s="80">
        <f t="shared" ca="1" si="12"/>
        <v>2712646</v>
      </c>
      <c r="Z17">
        <f t="shared" si="13"/>
        <v>30471210</v>
      </c>
      <c r="AA17">
        <f t="shared" si="14"/>
        <v>17892241</v>
      </c>
      <c r="AB17" s="3">
        <f t="shared" si="15"/>
        <v>12578969</v>
      </c>
      <c r="AC17" s="2">
        <f t="shared" si="0"/>
        <v>0.58718511670524409</v>
      </c>
      <c r="AD17" s="1">
        <f t="shared" ca="1" si="16"/>
        <v>3.5445537256025634E-7</v>
      </c>
      <c r="AE17" s="1">
        <v>83</v>
      </c>
      <c r="AH17" s="1">
        <f t="shared" si="1"/>
        <v>13</v>
      </c>
      <c r="AI17" s="1">
        <f t="shared" ca="1" si="17"/>
        <v>83</v>
      </c>
      <c r="AJ17" t="s">
        <v>183</v>
      </c>
      <c r="AK17">
        <v>22647</v>
      </c>
      <c r="AL17">
        <v>14493089500</v>
      </c>
      <c r="AM17">
        <v>573739.33999999939</v>
      </c>
      <c r="AN17">
        <v>13956226507</v>
      </c>
      <c r="AO17">
        <v>42552</v>
      </c>
      <c r="AP17">
        <v>22349</v>
      </c>
      <c r="AQ17">
        <v>15303080700</v>
      </c>
      <c r="AR17">
        <v>552719.47679999948</v>
      </c>
      <c r="AS17">
        <v>15303080700</v>
      </c>
      <c r="AU17" s="1">
        <f t="shared" si="18"/>
        <v>61</v>
      </c>
      <c r="AV17" s="1">
        <f t="shared" ca="1" si="19"/>
        <v>90</v>
      </c>
      <c r="AW17" t="s">
        <v>55</v>
      </c>
      <c r="AX17">
        <v>609.20000000000005</v>
      </c>
      <c r="AY17">
        <v>609.20000000000005</v>
      </c>
      <c r="AZ17">
        <v>609.20000000000005</v>
      </c>
      <c r="BA17">
        <v>609.20000000000005</v>
      </c>
      <c r="BC17" s="1">
        <f t="shared" si="20"/>
        <v>65</v>
      </c>
      <c r="BD17" t="s">
        <v>49</v>
      </c>
      <c r="BE17">
        <v>3867776.92</v>
      </c>
      <c r="BF17">
        <v>2442479</v>
      </c>
      <c r="BG17">
        <v>3208451.49</v>
      </c>
      <c r="BH17">
        <v>1837580</v>
      </c>
      <c r="BI17">
        <v>3820837.6599999997</v>
      </c>
      <c r="BJ17">
        <v>2151307</v>
      </c>
      <c r="BK17">
        <v>1665040.7299999995</v>
      </c>
      <c r="BL17">
        <v>899122</v>
      </c>
      <c r="BO17" s="1">
        <f t="shared" si="21"/>
        <v>16</v>
      </c>
      <c r="BP17" t="s">
        <v>67</v>
      </c>
      <c r="BQ17" s="106">
        <v>0.52</v>
      </c>
      <c r="BR17" s="106">
        <v>0.51</v>
      </c>
      <c r="BS17" s="106">
        <v>0.51</v>
      </c>
      <c r="BT17" s="106">
        <v>0.51</v>
      </c>
      <c r="BU17" s="2">
        <f t="shared" ca="1" si="22"/>
        <v>0.71</v>
      </c>
      <c r="BV17" s="2"/>
      <c r="BW17" s="1" t="str">
        <f t="shared" si="23"/>
        <v>Waitomo District</v>
      </c>
      <c r="BX17" s="107">
        <f t="shared" ca="1" si="24"/>
        <v>0</v>
      </c>
      <c r="BY17" s="2">
        <f t="shared" ca="1" si="25"/>
        <v>4.577916488159843E-2</v>
      </c>
      <c r="BZ17" s="2">
        <f t="shared" ca="1" si="26"/>
        <v>-3.9634671721523351E-2</v>
      </c>
    </row>
    <row r="18" spans="1:78" x14ac:dyDescent="0.25">
      <c r="A18">
        <v>21</v>
      </c>
      <c r="B18" t="s">
        <v>14</v>
      </c>
      <c r="C18" s="80">
        <v>40</v>
      </c>
      <c r="D18" s="80">
        <f t="shared" ca="1" si="2"/>
        <v>39.6</v>
      </c>
      <c r="E18" s="80">
        <v>480205750</v>
      </c>
      <c r="F18" s="80">
        <f t="shared" ca="1" si="3"/>
        <v>665089275</v>
      </c>
      <c r="G18" s="80">
        <v>2897</v>
      </c>
      <c r="H18" s="80">
        <f t="shared" ca="1" si="4"/>
        <v>2900</v>
      </c>
      <c r="I18" s="82">
        <v>1148.7324066029539</v>
      </c>
      <c r="J18" s="80">
        <v>448315</v>
      </c>
      <c r="K18" s="80">
        <v>301685</v>
      </c>
      <c r="L18" s="80">
        <v>524652</v>
      </c>
      <c r="M18" s="80">
        <v>356469</v>
      </c>
      <c r="N18" s="80">
        <v>492254</v>
      </c>
      <c r="O18" s="80">
        <v>334402</v>
      </c>
      <c r="P18" s="80">
        <v>460137</v>
      </c>
      <c r="Q18" s="80">
        <v>306370</v>
      </c>
      <c r="R18" s="80">
        <f t="shared" ca="1" si="5"/>
        <v>470487.46999999991</v>
      </c>
      <c r="S18" s="80">
        <f t="shared" ca="1" si="6"/>
        <v>313262</v>
      </c>
      <c r="T18" s="80">
        <f t="shared" ca="1" si="7"/>
        <v>524210.35000000009</v>
      </c>
      <c r="U18" s="80">
        <f t="shared" ca="1" si="8"/>
        <v>343463</v>
      </c>
      <c r="V18" s="80">
        <f t="shared" ca="1" si="9"/>
        <v>508396.39999999997</v>
      </c>
      <c r="W18" s="80">
        <f t="shared" ca="1" si="10"/>
        <v>323007</v>
      </c>
      <c r="X18" s="80">
        <f t="shared" ca="1" si="11"/>
        <v>156333.34</v>
      </c>
      <c r="Y18" s="80">
        <f t="shared" ca="1" si="12"/>
        <v>103180</v>
      </c>
      <c r="Z18">
        <f t="shared" si="13"/>
        <v>1925358</v>
      </c>
      <c r="AA18">
        <f t="shared" si="14"/>
        <v>1298926</v>
      </c>
      <c r="AB18" s="3">
        <f t="shared" si="15"/>
        <v>626432</v>
      </c>
      <c r="AC18" s="2">
        <f t="shared" si="0"/>
        <v>0.6746412874904304</v>
      </c>
      <c r="AD18" s="1">
        <f t="shared" ca="1" si="16"/>
        <v>5.9540878929373805E-8</v>
      </c>
      <c r="AE18" s="1">
        <v>84</v>
      </c>
      <c r="AH18" s="1">
        <f t="shared" si="1"/>
        <v>19</v>
      </c>
      <c r="AI18" s="1">
        <f t="shared" ca="1" si="17"/>
        <v>84</v>
      </c>
      <c r="AJ18" t="s">
        <v>246</v>
      </c>
      <c r="AK18">
        <v>22591</v>
      </c>
      <c r="AL18">
        <v>13301853500</v>
      </c>
      <c r="AM18">
        <v>197891.02999999991</v>
      </c>
      <c r="AN18">
        <v>13541085722</v>
      </c>
      <c r="AO18">
        <v>41821</v>
      </c>
      <c r="AP18">
        <v>23111</v>
      </c>
      <c r="AQ18">
        <v>20123450500</v>
      </c>
      <c r="AR18">
        <v>198093.84000000003</v>
      </c>
      <c r="AS18">
        <v>20123450500</v>
      </c>
      <c r="AU18" s="1">
        <f t="shared" si="18"/>
        <v>25</v>
      </c>
      <c r="AV18" s="1">
        <f t="shared" ca="1" si="19"/>
        <v>83</v>
      </c>
      <c r="AW18" t="s">
        <v>4</v>
      </c>
      <c r="AX18">
        <v>636.1</v>
      </c>
      <c r="AY18">
        <v>642.69999999999993</v>
      </c>
      <c r="AZ18">
        <v>659.5</v>
      </c>
      <c r="BA18">
        <v>662.6</v>
      </c>
      <c r="BC18" s="1">
        <f t="shared" si="20"/>
        <v>3</v>
      </c>
      <c r="BD18" t="s">
        <v>50</v>
      </c>
      <c r="BE18">
        <v>9563936.5600000005</v>
      </c>
      <c r="BF18">
        <v>4585957</v>
      </c>
      <c r="BG18">
        <v>9525353.120000001</v>
      </c>
      <c r="BH18">
        <v>4558034</v>
      </c>
      <c r="BI18">
        <v>10531246.760000004</v>
      </c>
      <c r="BJ18">
        <v>5024452</v>
      </c>
      <c r="BK18">
        <v>5174637.25</v>
      </c>
      <c r="BL18">
        <v>2639065</v>
      </c>
      <c r="BO18" s="1">
        <f t="shared" si="21"/>
        <v>18</v>
      </c>
      <c r="BP18" t="s">
        <v>12</v>
      </c>
      <c r="BQ18" s="106">
        <v>0.52</v>
      </c>
      <c r="BR18" s="106">
        <v>0.51</v>
      </c>
      <c r="BS18" s="106">
        <v>0.51</v>
      </c>
      <c r="BT18" s="106">
        <v>0.51</v>
      </c>
      <c r="BU18" s="2">
        <f t="shared" ca="1" si="22"/>
        <v>0.75</v>
      </c>
      <c r="BV18" s="2"/>
      <c r="BW18" s="1" t="str">
        <f t="shared" si="23"/>
        <v>Kawerau District</v>
      </c>
      <c r="BX18" s="107">
        <f t="shared" ca="1" si="24"/>
        <v>-9.9999999999999638E-3</v>
      </c>
      <c r="BY18" s="2">
        <f t="shared" ca="1" si="25"/>
        <v>0.38500897792248429</v>
      </c>
      <c r="BZ18" s="2">
        <f t="shared" ca="1" si="26"/>
        <v>1.0355540214014498E-3</v>
      </c>
    </row>
    <row r="19" spans="1:78" x14ac:dyDescent="0.25">
      <c r="A19">
        <v>22</v>
      </c>
      <c r="B19" t="s">
        <v>15</v>
      </c>
      <c r="C19" s="80">
        <v>337</v>
      </c>
      <c r="D19" s="80">
        <f t="shared" ca="1" si="2"/>
        <v>336.6</v>
      </c>
      <c r="E19" s="80">
        <v>1650612465</v>
      </c>
      <c r="F19" s="80">
        <f t="shared" ca="1" si="3"/>
        <v>1921448529.5</v>
      </c>
      <c r="G19" s="80">
        <v>5593</v>
      </c>
      <c r="H19" s="80">
        <f t="shared" ca="1" si="4"/>
        <v>5566</v>
      </c>
      <c r="I19" s="82">
        <v>1145.6655439541933</v>
      </c>
      <c r="J19" s="80">
        <v>2051580</v>
      </c>
      <c r="K19" s="80">
        <v>1056305</v>
      </c>
      <c r="L19" s="80">
        <v>2186430</v>
      </c>
      <c r="M19" s="80">
        <v>1123231</v>
      </c>
      <c r="N19" s="80">
        <v>2269249</v>
      </c>
      <c r="O19" s="80">
        <v>1170652</v>
      </c>
      <c r="P19" s="80">
        <v>2236911</v>
      </c>
      <c r="Q19" s="80">
        <v>1127430</v>
      </c>
      <c r="R19" s="80">
        <f t="shared" ca="1" si="5"/>
        <v>2399724.5099999998</v>
      </c>
      <c r="S19" s="80">
        <f t="shared" ca="1" si="6"/>
        <v>1210160</v>
      </c>
      <c r="T19" s="80">
        <f t="shared" ca="1" si="7"/>
        <v>2327393</v>
      </c>
      <c r="U19" s="80">
        <f t="shared" ca="1" si="8"/>
        <v>1176405</v>
      </c>
      <c r="V19" s="80">
        <f t="shared" ca="1" si="9"/>
        <v>2696396.42</v>
      </c>
      <c r="W19" s="80">
        <f t="shared" ca="1" si="10"/>
        <v>1379527</v>
      </c>
      <c r="X19" s="80">
        <f t="shared" ca="1" si="11"/>
        <v>1531678.57</v>
      </c>
      <c r="Y19" s="80">
        <f t="shared" ca="1" si="12"/>
        <v>827804</v>
      </c>
      <c r="Z19">
        <f t="shared" si="13"/>
        <v>8744170</v>
      </c>
      <c r="AA19">
        <f t="shared" si="14"/>
        <v>4477618</v>
      </c>
      <c r="AB19" s="3">
        <f t="shared" si="15"/>
        <v>4266552</v>
      </c>
      <c r="AC19" s="2">
        <f t="shared" si="0"/>
        <v>0.51206895565845589</v>
      </c>
      <c r="AD19" s="1">
        <f t="shared" ca="1" si="16"/>
        <v>1.7518033651809044E-7</v>
      </c>
      <c r="AE19" s="1">
        <v>84</v>
      </c>
      <c r="AH19" s="1">
        <f t="shared" si="1"/>
        <v>20</v>
      </c>
      <c r="AI19" s="1">
        <f t="shared" ca="1" si="17"/>
        <v>84</v>
      </c>
      <c r="AJ19" t="s">
        <v>184</v>
      </c>
      <c r="AK19">
        <v>52325</v>
      </c>
      <c r="AL19">
        <v>28062566600</v>
      </c>
      <c r="AM19">
        <v>13893.51</v>
      </c>
      <c r="AN19">
        <v>29324115589</v>
      </c>
      <c r="AO19">
        <v>42186</v>
      </c>
      <c r="AP19">
        <v>54459</v>
      </c>
      <c r="AQ19">
        <v>34270086200</v>
      </c>
      <c r="AR19">
        <v>10065.649999999991</v>
      </c>
      <c r="AS19">
        <v>42334137512</v>
      </c>
      <c r="AU19" s="1">
        <f t="shared" si="18"/>
        <v>34</v>
      </c>
      <c r="AV19" s="1">
        <f t="shared" ca="1" si="19"/>
        <v>86</v>
      </c>
      <c r="AW19" t="s">
        <v>21</v>
      </c>
      <c r="AX19">
        <v>1629.3</v>
      </c>
      <c r="AY19">
        <v>1635.5</v>
      </c>
      <c r="AZ19">
        <v>1637.7</v>
      </c>
      <c r="BA19">
        <v>1639.3000000000002</v>
      </c>
      <c r="BC19" s="1">
        <f t="shared" si="20"/>
        <v>4</v>
      </c>
      <c r="BD19" t="s">
        <v>51</v>
      </c>
      <c r="BE19">
        <v>12894797.699999997</v>
      </c>
      <c r="BF19">
        <v>7061019</v>
      </c>
      <c r="BG19">
        <v>14081016.480000002</v>
      </c>
      <c r="BH19">
        <v>7715867</v>
      </c>
      <c r="BI19">
        <v>15162225.929999998</v>
      </c>
      <c r="BJ19">
        <v>8415417</v>
      </c>
      <c r="BK19">
        <v>7254576.1899999995</v>
      </c>
      <c r="BL19">
        <v>3990279</v>
      </c>
      <c r="BO19" s="1">
        <f t="shared" si="21"/>
        <v>19</v>
      </c>
      <c r="BP19" t="s">
        <v>13</v>
      </c>
      <c r="BQ19" s="106">
        <v>0.62</v>
      </c>
      <c r="BR19" s="106">
        <v>0.63</v>
      </c>
      <c r="BS19" s="106">
        <v>0.64</v>
      </c>
      <c r="BT19" s="106">
        <v>0.71</v>
      </c>
      <c r="BU19" s="2">
        <f t="shared" ca="1" si="22"/>
        <v>0.75</v>
      </c>
      <c r="BV19" s="2"/>
      <c r="BW19" s="1" t="str">
        <f t="shared" si="23"/>
        <v>Opotiki District</v>
      </c>
      <c r="BX19" s="107">
        <f t="shared" ca="1" si="24"/>
        <v>-1.1869436201779741E-3</v>
      </c>
      <c r="BY19" s="2">
        <f t="shared" ca="1" si="25"/>
        <v>0.16408216358647212</v>
      </c>
      <c r="BZ19" s="2">
        <f t="shared" ca="1" si="26"/>
        <v>-4.8274629000536386E-3</v>
      </c>
    </row>
    <row r="20" spans="1:78" x14ac:dyDescent="0.25">
      <c r="A20">
        <v>23</v>
      </c>
      <c r="B20" t="s">
        <v>16</v>
      </c>
      <c r="C20" s="80">
        <v>1005</v>
      </c>
      <c r="D20" s="80">
        <f t="shared" ca="1" si="2"/>
        <v>1004.3000000000001</v>
      </c>
      <c r="E20" s="80">
        <v>12103207950</v>
      </c>
      <c r="F20" s="80">
        <f t="shared" ca="1" si="3"/>
        <v>15063999511</v>
      </c>
      <c r="G20" s="80">
        <v>29369</v>
      </c>
      <c r="H20" s="80">
        <f t="shared" ca="1" si="4"/>
        <v>29447</v>
      </c>
      <c r="I20" s="82">
        <v>1034.2189018241818</v>
      </c>
      <c r="J20" s="80">
        <v>11384724</v>
      </c>
      <c r="K20" s="80">
        <v>5497269</v>
      </c>
      <c r="L20" s="80">
        <v>10981629</v>
      </c>
      <c r="M20" s="80">
        <v>5273107</v>
      </c>
      <c r="N20" s="80">
        <v>14361550</v>
      </c>
      <c r="O20" s="80">
        <v>7178248</v>
      </c>
      <c r="P20" s="80">
        <v>15960753</v>
      </c>
      <c r="Q20" s="80">
        <v>8073316</v>
      </c>
      <c r="R20" s="80">
        <f t="shared" ca="1" si="5"/>
        <v>17081947.809999999</v>
      </c>
      <c r="S20" s="80">
        <f t="shared" ca="1" si="6"/>
        <v>8620763</v>
      </c>
      <c r="T20" s="80">
        <f t="shared" ca="1" si="7"/>
        <v>12055921.439999999</v>
      </c>
      <c r="U20" s="80">
        <f t="shared" ca="1" si="8"/>
        <v>5878089</v>
      </c>
      <c r="V20" s="80">
        <f t="shared" ca="1" si="9"/>
        <v>9989226.4700000007</v>
      </c>
      <c r="W20" s="80">
        <f t="shared" ca="1" si="10"/>
        <v>4792891</v>
      </c>
      <c r="X20" s="80">
        <f t="shared" ca="1" si="11"/>
        <v>4172815.6799999997</v>
      </c>
      <c r="Y20" s="80">
        <f t="shared" ca="1" si="12"/>
        <v>2128136</v>
      </c>
      <c r="Z20">
        <f t="shared" si="13"/>
        <v>52688656</v>
      </c>
      <c r="AA20">
        <f t="shared" si="14"/>
        <v>26021940</v>
      </c>
      <c r="AB20" s="3">
        <f t="shared" si="15"/>
        <v>26666716</v>
      </c>
      <c r="AC20" s="2">
        <f t="shared" si="0"/>
        <v>0.49388126354940615</v>
      </c>
      <c r="AD20" s="1">
        <f t="shared" ca="1" si="16"/>
        <v>6.66688816118616E-8</v>
      </c>
      <c r="AE20" s="1">
        <v>84</v>
      </c>
      <c r="AH20" s="1">
        <f t="shared" si="1"/>
        <v>17</v>
      </c>
      <c r="AI20" s="1">
        <f t="shared" ca="1" si="17"/>
        <v>84</v>
      </c>
      <c r="AJ20" t="s">
        <v>185</v>
      </c>
      <c r="AK20">
        <v>29369</v>
      </c>
      <c r="AL20">
        <v>12394693650</v>
      </c>
      <c r="AM20">
        <v>248973.43030000036</v>
      </c>
      <c r="AN20">
        <v>12103207950</v>
      </c>
      <c r="AO20">
        <v>41821</v>
      </c>
      <c r="AP20">
        <v>29447</v>
      </c>
      <c r="AQ20">
        <v>12523819501</v>
      </c>
      <c r="AR20">
        <v>249872.15030000012</v>
      </c>
      <c r="AS20">
        <v>15063999511</v>
      </c>
      <c r="AU20" s="1">
        <f t="shared" si="18"/>
        <v>40</v>
      </c>
      <c r="AV20" s="1">
        <f t="shared" ca="1" si="19"/>
        <v>83</v>
      </c>
      <c r="AW20" t="s">
        <v>5</v>
      </c>
      <c r="AX20">
        <v>642.9</v>
      </c>
      <c r="AY20">
        <v>643.79999999999995</v>
      </c>
      <c r="AZ20">
        <v>632.4</v>
      </c>
      <c r="BA20">
        <v>634.4</v>
      </c>
      <c r="BC20" s="1">
        <f t="shared" si="20"/>
        <v>5</v>
      </c>
      <c r="BD20" t="s">
        <v>52</v>
      </c>
      <c r="BE20">
        <v>10506261.99</v>
      </c>
      <c r="BF20">
        <v>5446938</v>
      </c>
      <c r="BG20">
        <v>13344945.27</v>
      </c>
      <c r="BH20">
        <v>7193394</v>
      </c>
      <c r="BI20">
        <v>20930264.329999998</v>
      </c>
      <c r="BJ20">
        <v>11751850</v>
      </c>
      <c r="BK20">
        <v>5471981.5300000012</v>
      </c>
      <c r="BL20">
        <v>2859098</v>
      </c>
      <c r="BO20" s="1">
        <f t="shared" si="21"/>
        <v>20</v>
      </c>
      <c r="BP20" t="s">
        <v>68</v>
      </c>
      <c r="BQ20" s="106">
        <v>0.52</v>
      </c>
      <c r="BR20" s="106">
        <v>0.51</v>
      </c>
      <c r="BS20" s="106">
        <v>0.51</v>
      </c>
      <c r="BT20" s="106">
        <v>0.51</v>
      </c>
      <c r="BU20" s="2">
        <f t="shared" ca="1" si="22"/>
        <v>0.55000000000000004</v>
      </c>
      <c r="BV20" s="2"/>
      <c r="BW20" s="1" t="str">
        <f t="shared" si="23"/>
        <v>Rotorua District</v>
      </c>
      <c r="BX20" s="107">
        <f t="shared" ca="1" si="24"/>
        <v>-6.9651741293525556E-4</v>
      </c>
      <c r="BY20" s="2">
        <f t="shared" ca="1" si="25"/>
        <v>0.24462866152770679</v>
      </c>
      <c r="BZ20" s="2">
        <f t="shared" ca="1" si="26"/>
        <v>2.6558616227995505E-3</v>
      </c>
    </row>
    <row r="21" spans="1:78" x14ac:dyDescent="0.25">
      <c r="A21">
        <v>24</v>
      </c>
      <c r="B21" t="s">
        <v>17</v>
      </c>
      <c r="C21" s="80">
        <v>537</v>
      </c>
      <c r="D21" s="80">
        <f t="shared" ca="1" si="2"/>
        <v>536</v>
      </c>
      <c r="E21" s="80">
        <v>29324115589</v>
      </c>
      <c r="F21" s="80">
        <f t="shared" ca="1" si="3"/>
        <v>42334137512</v>
      </c>
      <c r="G21" s="80">
        <v>52325</v>
      </c>
      <c r="H21" s="80">
        <f t="shared" ca="1" si="4"/>
        <v>54459</v>
      </c>
      <c r="I21" s="82">
        <v>990.17989647494289</v>
      </c>
      <c r="J21" s="80">
        <v>15018617</v>
      </c>
      <c r="K21" s="80">
        <v>7066218</v>
      </c>
      <c r="L21" s="80">
        <v>17713396</v>
      </c>
      <c r="M21" s="80">
        <v>8453983</v>
      </c>
      <c r="N21" s="80">
        <v>13350578</v>
      </c>
      <c r="O21" s="80">
        <v>6155693</v>
      </c>
      <c r="P21" s="80">
        <v>15074410</v>
      </c>
      <c r="Q21" s="80">
        <v>6856299</v>
      </c>
      <c r="R21" s="80">
        <f t="shared" ca="1" si="5"/>
        <v>15377142.029999997</v>
      </c>
      <c r="S21" s="80">
        <f t="shared" ca="1" si="6"/>
        <v>6974119</v>
      </c>
      <c r="T21" s="80">
        <f t="shared" ca="1" si="7"/>
        <v>17294308.02</v>
      </c>
      <c r="U21" s="80">
        <f t="shared" ca="1" si="8"/>
        <v>7866910</v>
      </c>
      <c r="V21" s="80">
        <f t="shared" ca="1" si="9"/>
        <v>20970647.960000001</v>
      </c>
      <c r="W21" s="80">
        <f t="shared" ca="1" si="10"/>
        <v>9862389</v>
      </c>
      <c r="X21" s="80">
        <f t="shared" ca="1" si="11"/>
        <v>6752588.1800000006</v>
      </c>
      <c r="Y21" s="80">
        <f t="shared" ca="1" si="12"/>
        <v>3175104</v>
      </c>
      <c r="Z21">
        <f t="shared" si="13"/>
        <v>61157001</v>
      </c>
      <c r="AA21">
        <f t="shared" si="14"/>
        <v>28532193</v>
      </c>
      <c r="AB21" s="3">
        <f t="shared" si="15"/>
        <v>32624808</v>
      </c>
      <c r="AC21" s="2">
        <f t="shared" si="0"/>
        <v>0.46654009407688257</v>
      </c>
      <c r="AD21" s="1">
        <f t="shared" ca="1" si="16"/>
        <v>1.2661176806733475E-8</v>
      </c>
      <c r="AE21" s="1">
        <v>84</v>
      </c>
      <c r="AG21" s="1"/>
      <c r="AH21" s="1">
        <f t="shared" si="1"/>
        <v>16</v>
      </c>
      <c r="AI21" s="1">
        <f t="shared" ca="1" si="17"/>
        <v>84</v>
      </c>
      <c r="AJ21" t="s">
        <v>186</v>
      </c>
      <c r="AK21">
        <v>15807</v>
      </c>
      <c r="AL21">
        <v>6945777250</v>
      </c>
      <c r="AM21">
        <v>254136.08999999988</v>
      </c>
      <c r="AN21">
        <v>6948001767.5</v>
      </c>
      <c r="AO21">
        <v>41518</v>
      </c>
      <c r="AP21">
        <v>15709</v>
      </c>
      <c r="AQ21">
        <v>6965421350</v>
      </c>
      <c r="AR21">
        <v>254767.16999999972</v>
      </c>
      <c r="AS21">
        <v>8049677369</v>
      </c>
      <c r="AU21" s="1">
        <f t="shared" si="18"/>
        <v>51</v>
      </c>
      <c r="AV21" s="1">
        <f t="shared" ca="1" si="19"/>
        <v>88</v>
      </c>
      <c r="AW21" t="s">
        <v>27</v>
      </c>
      <c r="AX21">
        <v>579.9</v>
      </c>
      <c r="AY21">
        <v>576.5</v>
      </c>
      <c r="AZ21">
        <v>576.5</v>
      </c>
      <c r="BA21">
        <v>576.5</v>
      </c>
      <c r="BC21" s="1">
        <f t="shared" si="20"/>
        <v>6</v>
      </c>
      <c r="BD21" t="s">
        <v>53</v>
      </c>
      <c r="BE21">
        <v>3046315.6199999996</v>
      </c>
      <c r="BF21">
        <v>1581566</v>
      </c>
      <c r="BG21">
        <v>4042882.4499999997</v>
      </c>
      <c r="BH21">
        <v>2108471</v>
      </c>
      <c r="BI21">
        <v>4250873.88</v>
      </c>
      <c r="BJ21">
        <v>2197417</v>
      </c>
      <c r="BK21">
        <v>2335640.7499999995</v>
      </c>
      <c r="BL21">
        <v>1261246</v>
      </c>
      <c r="BO21" s="1">
        <f t="shared" si="21"/>
        <v>21</v>
      </c>
      <c r="BP21" t="s">
        <v>14</v>
      </c>
      <c r="BQ21" s="106">
        <v>0.66</v>
      </c>
      <c r="BR21" s="106">
        <v>0.67</v>
      </c>
      <c r="BS21" s="106">
        <v>0.68</v>
      </c>
      <c r="BT21" s="106">
        <v>0.75</v>
      </c>
      <c r="BU21" s="2">
        <f t="shared" ca="1" si="22"/>
        <v>0.51</v>
      </c>
      <c r="BV21" s="2"/>
      <c r="BW21" s="1" t="str">
        <f t="shared" si="23"/>
        <v>Tauranga City</v>
      </c>
      <c r="BX21" s="107">
        <f t="shared" ca="1" si="24"/>
        <v>-1.8621973929236499E-3</v>
      </c>
      <c r="BY21" s="2">
        <f t="shared" ca="1" si="25"/>
        <v>0.44366289184456398</v>
      </c>
      <c r="BZ21" s="2">
        <f t="shared" ca="1" si="26"/>
        <v>4.0783564261825132E-2</v>
      </c>
    </row>
    <row r="22" spans="1:78" x14ac:dyDescent="0.25">
      <c r="A22">
        <v>25</v>
      </c>
      <c r="B22" t="s">
        <v>18</v>
      </c>
      <c r="C22" s="80">
        <v>1030</v>
      </c>
      <c r="D22" s="80">
        <f t="shared" ca="1" si="2"/>
        <v>1029.8</v>
      </c>
      <c r="E22" s="80">
        <v>13541085722</v>
      </c>
      <c r="F22" s="80">
        <f t="shared" ca="1" si="3"/>
        <v>20123450500</v>
      </c>
      <c r="G22" s="80">
        <v>22591</v>
      </c>
      <c r="H22" s="80">
        <f t="shared" ca="1" si="4"/>
        <v>23111</v>
      </c>
      <c r="I22" s="82">
        <v>981.604731430215</v>
      </c>
      <c r="J22" s="80">
        <v>12537386</v>
      </c>
      <c r="K22" s="80">
        <v>5723334</v>
      </c>
      <c r="L22" s="80">
        <v>13939226</v>
      </c>
      <c r="M22" s="80">
        <v>6416157</v>
      </c>
      <c r="N22" s="80">
        <v>15242102</v>
      </c>
      <c r="O22" s="80">
        <v>7170962</v>
      </c>
      <c r="P22" s="80">
        <v>13405687</v>
      </c>
      <c r="Q22" s="80">
        <v>6304407</v>
      </c>
      <c r="R22" s="80">
        <f t="shared" ca="1" si="5"/>
        <v>14198216.84</v>
      </c>
      <c r="S22" s="80">
        <f t="shared" ca="1" si="6"/>
        <v>6661083</v>
      </c>
      <c r="T22" s="80">
        <f t="shared" ca="1" si="7"/>
        <v>15468364.09</v>
      </c>
      <c r="U22" s="80">
        <f t="shared" ca="1" si="8"/>
        <v>7310081</v>
      </c>
      <c r="V22" s="80">
        <f t="shared" ca="1" si="9"/>
        <v>13914293.870000001</v>
      </c>
      <c r="W22" s="80">
        <f t="shared" ca="1" si="10"/>
        <v>6533665</v>
      </c>
      <c r="X22" s="80">
        <f t="shared" ca="1" si="11"/>
        <v>7570573.4700000007</v>
      </c>
      <c r="Y22" s="80">
        <f t="shared" ca="1" si="12"/>
        <v>3709581</v>
      </c>
      <c r="Z22">
        <f t="shared" si="13"/>
        <v>55124401</v>
      </c>
      <c r="AA22">
        <f t="shared" si="14"/>
        <v>25614860</v>
      </c>
      <c r="AB22" s="3">
        <f t="shared" si="15"/>
        <v>29509541</v>
      </c>
      <c r="AC22" s="2">
        <f t="shared" si="0"/>
        <v>0.46467371137511315</v>
      </c>
      <c r="AD22" s="1">
        <f t="shared" ca="1" si="16"/>
        <v>5.1174126425286752E-8</v>
      </c>
      <c r="AE22" s="1">
        <v>84</v>
      </c>
      <c r="AG22" s="1"/>
      <c r="AH22" s="1">
        <f t="shared" si="1"/>
        <v>15</v>
      </c>
      <c r="AI22" s="1">
        <f t="shared" ca="1" si="17"/>
        <v>84</v>
      </c>
      <c r="AJ22" t="s">
        <v>187</v>
      </c>
      <c r="AK22">
        <v>2897</v>
      </c>
      <c r="AL22">
        <v>550720500</v>
      </c>
      <c r="AM22">
        <v>1914.57</v>
      </c>
      <c r="AN22">
        <v>480205750</v>
      </c>
      <c r="AO22">
        <v>42248</v>
      </c>
      <c r="AP22">
        <v>2900</v>
      </c>
      <c r="AQ22">
        <v>536704000</v>
      </c>
      <c r="AR22">
        <v>1912.4099999999996</v>
      </c>
      <c r="AS22">
        <v>665089275</v>
      </c>
      <c r="AU22" s="1">
        <f t="shared" si="18"/>
        <v>64</v>
      </c>
      <c r="AV22" s="1">
        <f t="shared" ca="1" si="19"/>
        <v>91</v>
      </c>
      <c r="AW22" t="s">
        <v>48</v>
      </c>
      <c r="AX22">
        <v>1456.6999999999998</v>
      </c>
      <c r="AY22">
        <v>1456.7</v>
      </c>
      <c r="AZ22">
        <v>1458.4</v>
      </c>
      <c r="BA22">
        <v>1460.6999999999998</v>
      </c>
      <c r="BC22" s="1">
        <f t="shared" si="20"/>
        <v>7</v>
      </c>
      <c r="BD22" t="s">
        <v>254</v>
      </c>
      <c r="BE22">
        <v>3314104.14</v>
      </c>
      <c r="BF22">
        <v>2922299</v>
      </c>
      <c r="BG22">
        <v>3670382.38</v>
      </c>
      <c r="BH22">
        <v>3279039</v>
      </c>
      <c r="BI22">
        <v>4918880.55</v>
      </c>
      <c r="BJ22">
        <v>4479632</v>
      </c>
      <c r="BK22">
        <v>1494964.4600000002</v>
      </c>
      <c r="BL22">
        <v>1345468</v>
      </c>
      <c r="BO22" s="1">
        <f t="shared" si="21"/>
        <v>22</v>
      </c>
      <c r="BP22" t="s">
        <v>15</v>
      </c>
      <c r="BQ22" s="106">
        <v>0.53</v>
      </c>
      <c r="BR22" s="106">
        <v>0.54</v>
      </c>
      <c r="BS22" s="106">
        <v>0.55000000000000004</v>
      </c>
      <c r="BT22" s="106">
        <v>0.75</v>
      </c>
      <c r="BU22" s="2">
        <f t="shared" ca="1" si="22"/>
        <v>0.51</v>
      </c>
      <c r="BV22" s="2"/>
      <c r="BW22" s="1" t="str">
        <f t="shared" si="23"/>
        <v>Western Bay of Plenty District</v>
      </c>
      <c r="BX22" s="107">
        <f t="shared" ca="1" si="24"/>
        <v>-1.9417475728159754E-4</v>
      </c>
      <c r="BY22" s="2">
        <f t="shared" ca="1" si="25"/>
        <v>0.48610317615120996</v>
      </c>
      <c r="BZ22" s="2">
        <f t="shared" ca="1" si="26"/>
        <v>2.3018016024080386E-2</v>
      </c>
    </row>
    <row r="23" spans="1:78" x14ac:dyDescent="0.25">
      <c r="A23">
        <v>26</v>
      </c>
      <c r="B23" t="s">
        <v>251</v>
      </c>
      <c r="C23" s="80">
        <v>903</v>
      </c>
      <c r="D23" s="80">
        <f t="shared" ca="1" si="2"/>
        <v>903</v>
      </c>
      <c r="E23" s="80">
        <v>6948001768</v>
      </c>
      <c r="F23" s="80">
        <f t="shared" ca="1" si="3"/>
        <v>8049677369</v>
      </c>
      <c r="G23" s="80">
        <v>15807</v>
      </c>
      <c r="H23" s="80">
        <f t="shared" ca="1" si="4"/>
        <v>15709</v>
      </c>
      <c r="I23" s="82">
        <v>1065.8685458612974</v>
      </c>
      <c r="J23" s="80">
        <v>8927289</v>
      </c>
      <c r="K23" s="80">
        <v>4611963</v>
      </c>
      <c r="L23" s="80">
        <v>11988632</v>
      </c>
      <c r="M23" s="80">
        <v>6705604</v>
      </c>
      <c r="N23" s="80">
        <v>8462308</v>
      </c>
      <c r="O23" s="80">
        <v>4672828</v>
      </c>
      <c r="P23" s="80">
        <v>9308508</v>
      </c>
      <c r="Q23" s="80">
        <v>5124234</v>
      </c>
      <c r="R23" s="80">
        <f t="shared" ca="1" si="5"/>
        <v>8571013.2400000002</v>
      </c>
      <c r="S23" s="80">
        <f t="shared" ca="1" si="6"/>
        <v>4126436</v>
      </c>
      <c r="T23" s="80">
        <f t="shared" ca="1" si="7"/>
        <v>9810097.75</v>
      </c>
      <c r="U23" s="80">
        <f t="shared" ca="1" si="8"/>
        <v>4843501</v>
      </c>
      <c r="V23" s="80">
        <f t="shared" ca="1" si="9"/>
        <v>10272648.98</v>
      </c>
      <c r="W23" s="80">
        <f t="shared" ca="1" si="10"/>
        <v>5193910</v>
      </c>
      <c r="X23" s="80">
        <f t="shared" ca="1" si="11"/>
        <v>5016254.9700000007</v>
      </c>
      <c r="Y23" s="80">
        <f t="shared" ca="1" si="12"/>
        <v>2660695</v>
      </c>
      <c r="Z23">
        <f t="shared" si="13"/>
        <v>38686737</v>
      </c>
      <c r="AA23">
        <f t="shared" si="14"/>
        <v>21114629</v>
      </c>
      <c r="AB23" s="3">
        <f t="shared" si="15"/>
        <v>17572108</v>
      </c>
      <c r="AC23" s="2">
        <f t="shared" si="0"/>
        <v>0.54578469618670611</v>
      </c>
      <c r="AD23" s="1">
        <f t="shared" ca="1" si="16"/>
        <v>1.1217840897295221E-7</v>
      </c>
      <c r="AE23" s="1">
        <v>84</v>
      </c>
      <c r="AG23" s="1"/>
      <c r="AH23" s="1">
        <f t="shared" si="1"/>
        <v>18</v>
      </c>
      <c r="AI23" s="1">
        <f t="shared" ca="1" si="17"/>
        <v>84</v>
      </c>
      <c r="AJ23" t="s">
        <v>188</v>
      </c>
      <c r="AK23">
        <v>5593</v>
      </c>
      <c r="AL23">
        <v>1683651700</v>
      </c>
      <c r="AM23">
        <v>90500.689999999988</v>
      </c>
      <c r="AN23">
        <v>1650612465</v>
      </c>
      <c r="AO23">
        <v>41518</v>
      </c>
      <c r="AP23">
        <v>5566</v>
      </c>
      <c r="AQ23">
        <v>1698868400</v>
      </c>
      <c r="AR23">
        <v>90512.35</v>
      </c>
      <c r="AS23">
        <v>1921448529.5</v>
      </c>
      <c r="AU23" s="1">
        <f t="shared" si="18"/>
        <v>66</v>
      </c>
      <c r="AV23" s="1">
        <f t="shared" ca="1" si="19"/>
        <v>89</v>
      </c>
      <c r="AW23" t="s">
        <v>255</v>
      </c>
      <c r="AX23">
        <v>481</v>
      </c>
      <c r="AY23">
        <v>481.1</v>
      </c>
      <c r="AZ23">
        <v>482.5</v>
      </c>
      <c r="BA23">
        <v>483.5</v>
      </c>
      <c r="BC23" s="1">
        <f t="shared" si="20"/>
        <v>8</v>
      </c>
      <c r="BD23" t="s">
        <v>19</v>
      </c>
      <c r="BE23">
        <v>23939820.550000001</v>
      </c>
      <c r="BF23">
        <v>14515432</v>
      </c>
      <c r="BG23">
        <v>24118429.130000003</v>
      </c>
      <c r="BH23">
        <v>14675850</v>
      </c>
      <c r="BI23">
        <v>23691931.309999995</v>
      </c>
      <c r="BJ23">
        <v>14177468</v>
      </c>
      <c r="BK23">
        <v>13834911.809999999</v>
      </c>
      <c r="BL23">
        <v>8444652</v>
      </c>
      <c r="BO23" s="1">
        <f t="shared" si="21"/>
        <v>23</v>
      </c>
      <c r="BP23" t="s">
        <v>16</v>
      </c>
      <c r="BQ23" s="106">
        <v>0.51</v>
      </c>
      <c r="BR23" s="106">
        <v>0.52</v>
      </c>
      <c r="BS23" s="106">
        <v>0.53</v>
      </c>
      <c r="BT23" s="106">
        <v>0.55000000000000004</v>
      </c>
      <c r="BU23" s="2">
        <f t="shared" ca="1" si="22"/>
        <v>0.64</v>
      </c>
      <c r="BV23" s="2"/>
      <c r="BW23" s="1" t="str">
        <f t="shared" si="23"/>
        <v>Whakatane District</v>
      </c>
      <c r="BX23" s="107">
        <f t="shared" ca="1" si="24"/>
        <v>0</v>
      </c>
      <c r="BY23" s="2">
        <f t="shared" ca="1" si="25"/>
        <v>0.15856006342340356</v>
      </c>
      <c r="BZ23" s="2">
        <f t="shared" ca="1" si="26"/>
        <v>-6.199784905421649E-3</v>
      </c>
    </row>
    <row r="24" spans="1:78" x14ac:dyDescent="0.25">
      <c r="A24">
        <v>27</v>
      </c>
      <c r="B24" t="s">
        <v>19</v>
      </c>
      <c r="C24" s="80">
        <v>1883</v>
      </c>
      <c r="D24" s="80">
        <f t="shared" ca="1" si="2"/>
        <v>1892.6000000000001</v>
      </c>
      <c r="E24" s="80">
        <v>9389535019</v>
      </c>
      <c r="F24" s="80">
        <f t="shared" ca="1" si="3"/>
        <v>10473400693.5</v>
      </c>
      <c r="G24" s="80">
        <v>23737</v>
      </c>
      <c r="H24" s="80">
        <f t="shared" ca="1" si="4"/>
        <v>23808</v>
      </c>
      <c r="I24" s="82">
        <v>1077.2893648749407</v>
      </c>
      <c r="J24" s="80">
        <v>20645971</v>
      </c>
      <c r="K24" s="80">
        <v>12432470</v>
      </c>
      <c r="L24" s="80">
        <v>20840655</v>
      </c>
      <c r="M24" s="80">
        <v>12497611</v>
      </c>
      <c r="N24" s="80">
        <v>21037196</v>
      </c>
      <c r="O24" s="80">
        <v>12552318</v>
      </c>
      <c r="P24" s="80">
        <v>19495218</v>
      </c>
      <c r="Q24" s="80">
        <v>11416524</v>
      </c>
      <c r="R24" s="80">
        <f t="shared" ca="1" si="5"/>
        <v>23939820.550000001</v>
      </c>
      <c r="S24" s="80">
        <f t="shared" ca="1" si="6"/>
        <v>14515432</v>
      </c>
      <c r="T24" s="80">
        <f t="shared" ca="1" si="7"/>
        <v>24118429.130000003</v>
      </c>
      <c r="U24" s="80">
        <f t="shared" ca="1" si="8"/>
        <v>14675850</v>
      </c>
      <c r="V24" s="80">
        <f t="shared" ca="1" si="9"/>
        <v>23691931.309999995</v>
      </c>
      <c r="W24" s="80">
        <f t="shared" ca="1" si="10"/>
        <v>14177468</v>
      </c>
      <c r="X24" s="80">
        <f t="shared" ca="1" si="11"/>
        <v>13834911.809999999</v>
      </c>
      <c r="Y24" s="80">
        <f t="shared" ca="1" si="12"/>
        <v>8444652</v>
      </c>
      <c r="Z24">
        <f t="shared" si="13"/>
        <v>82019040</v>
      </c>
      <c r="AA24">
        <f t="shared" si="14"/>
        <v>48898923</v>
      </c>
      <c r="AB24" s="3">
        <f t="shared" si="15"/>
        <v>33120117</v>
      </c>
      <c r="AC24" s="2">
        <f t="shared" si="0"/>
        <v>0.59618989688247992</v>
      </c>
      <c r="AD24" s="1">
        <f t="shared" ca="1" si="16"/>
        <v>1.8070539411087225E-7</v>
      </c>
      <c r="AE24" s="1">
        <v>27</v>
      </c>
      <c r="AG24" s="1"/>
      <c r="AH24" s="1">
        <f t="shared" si="1"/>
        <v>21</v>
      </c>
      <c r="AI24" s="1">
        <f t="shared" ca="1" si="17"/>
        <v>27</v>
      </c>
      <c r="AJ24" t="s">
        <v>189</v>
      </c>
      <c r="AK24">
        <v>23737</v>
      </c>
      <c r="AL24">
        <v>9345847650</v>
      </c>
      <c r="AM24">
        <v>933128.47169999988</v>
      </c>
      <c r="AN24">
        <v>9389535018.5</v>
      </c>
      <c r="AO24">
        <v>41821</v>
      </c>
      <c r="AP24">
        <v>23808</v>
      </c>
      <c r="AQ24">
        <v>9503704550</v>
      </c>
      <c r="AR24">
        <v>938316.67169999983</v>
      </c>
      <c r="AS24">
        <v>10473400693.5</v>
      </c>
      <c r="AU24" s="1">
        <f t="shared" si="18"/>
        <v>12</v>
      </c>
      <c r="AV24" s="1">
        <f t="shared" ca="1" si="19"/>
        <v>94</v>
      </c>
      <c r="AW24" t="s">
        <v>63</v>
      </c>
      <c r="AX24">
        <v>597.20000000000005</v>
      </c>
      <c r="AY24">
        <v>596.6</v>
      </c>
      <c r="AZ24">
        <v>596.6</v>
      </c>
      <c r="BA24">
        <v>597</v>
      </c>
      <c r="BC24" s="1">
        <f t="shared" si="20"/>
        <v>20</v>
      </c>
      <c r="BD24" t="s">
        <v>20</v>
      </c>
      <c r="BE24">
        <v>10485130.569999998</v>
      </c>
      <c r="BF24">
        <v>6850414</v>
      </c>
      <c r="BG24">
        <v>12303425.24</v>
      </c>
      <c r="BH24">
        <v>7536169</v>
      </c>
      <c r="BI24">
        <v>13884605.840000002</v>
      </c>
      <c r="BJ24">
        <v>8111268</v>
      </c>
      <c r="BK24">
        <v>5174990.01</v>
      </c>
      <c r="BL24">
        <v>3104994</v>
      </c>
      <c r="BO24" s="1">
        <f t="shared" si="21"/>
        <v>24</v>
      </c>
      <c r="BP24" t="s">
        <v>17</v>
      </c>
      <c r="BQ24" s="106">
        <v>0.47</v>
      </c>
      <c r="BR24" s="106">
        <v>0.48</v>
      </c>
      <c r="BS24" s="106">
        <v>0.49</v>
      </c>
      <c r="BT24" s="106">
        <v>0.51</v>
      </c>
      <c r="BU24" s="2">
        <f t="shared" ca="1" si="22"/>
        <v>0.67</v>
      </c>
      <c r="BV24" s="2"/>
      <c r="BW24" s="1" t="str">
        <f t="shared" si="23"/>
        <v>Gisborne District</v>
      </c>
      <c r="BX24" s="107">
        <f t="shared" ca="1" si="24"/>
        <v>5.0982474774297062E-3</v>
      </c>
      <c r="BY24" s="2">
        <f t="shared" ca="1" si="25"/>
        <v>0.11543337048179339</v>
      </c>
      <c r="BZ24" s="2">
        <f t="shared" ca="1" si="26"/>
        <v>2.9911109238741204E-3</v>
      </c>
    </row>
    <row r="25" spans="1:78" x14ac:dyDescent="0.25">
      <c r="A25">
        <v>28</v>
      </c>
      <c r="B25" t="s">
        <v>20</v>
      </c>
      <c r="C25" s="80">
        <v>1263</v>
      </c>
      <c r="D25" s="80">
        <f t="shared" ca="1" si="2"/>
        <v>1263.0999999999999</v>
      </c>
      <c r="E25" s="80">
        <v>3982104125</v>
      </c>
      <c r="F25" s="80">
        <f t="shared" ca="1" si="3"/>
        <v>4385789256.5</v>
      </c>
      <c r="G25" s="80">
        <v>7661</v>
      </c>
      <c r="H25" s="80">
        <f t="shared" ca="1" si="4"/>
        <v>7313</v>
      </c>
      <c r="I25" s="82">
        <v>993.28420326511844</v>
      </c>
      <c r="J25" s="80">
        <v>9422754</v>
      </c>
      <c r="K25" s="80">
        <v>5471731</v>
      </c>
      <c r="L25" s="80">
        <v>11229752</v>
      </c>
      <c r="M25" s="80">
        <v>6559227</v>
      </c>
      <c r="N25" s="80">
        <v>11093361</v>
      </c>
      <c r="O25" s="80">
        <v>6398053</v>
      </c>
      <c r="P25" s="80">
        <v>7218124</v>
      </c>
      <c r="Q25" s="80">
        <v>4211218</v>
      </c>
      <c r="R25" s="80">
        <f t="shared" ca="1" si="5"/>
        <v>10485130.569999998</v>
      </c>
      <c r="S25" s="80">
        <f t="shared" ca="1" si="6"/>
        <v>6850414</v>
      </c>
      <c r="T25" s="80">
        <f t="shared" ca="1" si="7"/>
        <v>12303425.24</v>
      </c>
      <c r="U25" s="80">
        <f t="shared" ca="1" si="8"/>
        <v>7536169</v>
      </c>
      <c r="V25" s="80">
        <f t="shared" ca="1" si="9"/>
        <v>13884605.840000002</v>
      </c>
      <c r="W25" s="80">
        <f t="shared" ca="1" si="10"/>
        <v>8111268</v>
      </c>
      <c r="X25" s="80">
        <f t="shared" ca="1" si="11"/>
        <v>5174990.01</v>
      </c>
      <c r="Y25" s="80">
        <f t="shared" ca="1" si="12"/>
        <v>3104994</v>
      </c>
      <c r="Z25">
        <f t="shared" si="13"/>
        <v>38963991</v>
      </c>
      <c r="AA25">
        <f t="shared" si="14"/>
        <v>22640229</v>
      </c>
      <c r="AB25" s="3">
        <f t="shared" si="15"/>
        <v>16323762</v>
      </c>
      <c r="AC25" s="2">
        <f t="shared" si="0"/>
        <v>0.58105518502968545</v>
      </c>
      <c r="AD25" s="1">
        <f t="shared" ca="1" si="16"/>
        <v>2.8799833419446927E-7</v>
      </c>
      <c r="AE25" s="1">
        <v>86</v>
      </c>
      <c r="AG25" s="1"/>
      <c r="AH25" s="1">
        <f t="shared" si="1"/>
        <v>25</v>
      </c>
      <c r="AI25" s="1">
        <f t="shared" ca="1" si="17"/>
        <v>86</v>
      </c>
      <c r="AJ25" t="s">
        <v>190</v>
      </c>
      <c r="AK25">
        <v>6718</v>
      </c>
      <c r="AL25">
        <v>1677426200</v>
      </c>
      <c r="AM25">
        <v>281173.5400000001</v>
      </c>
      <c r="AN25">
        <v>1692562679</v>
      </c>
      <c r="AO25">
        <v>42217</v>
      </c>
      <c r="AP25">
        <v>6623</v>
      </c>
      <c r="AQ25">
        <v>1718531050</v>
      </c>
      <c r="AR25">
        <v>281207.69999999995</v>
      </c>
      <c r="AS25">
        <v>1900847940</v>
      </c>
      <c r="AU25" s="1">
        <f t="shared" si="18"/>
        <v>5</v>
      </c>
      <c r="AV25" s="1">
        <f t="shared" ca="1" si="19"/>
        <v>91</v>
      </c>
      <c r="AW25" t="s">
        <v>42</v>
      </c>
      <c r="AX25">
        <v>204.7</v>
      </c>
      <c r="AY25">
        <v>208.1</v>
      </c>
      <c r="AZ25">
        <v>208.1</v>
      </c>
      <c r="BA25">
        <v>208.1</v>
      </c>
      <c r="BC25" s="1">
        <f t="shared" si="20"/>
        <v>21</v>
      </c>
      <c r="BD25" t="s">
        <v>21</v>
      </c>
      <c r="BE25">
        <v>18058512.260000005</v>
      </c>
      <c r="BF25">
        <v>9458526</v>
      </c>
      <c r="BG25">
        <v>19758881.419999994</v>
      </c>
      <c r="BH25">
        <v>10453572</v>
      </c>
      <c r="BI25">
        <v>23635721.579999994</v>
      </c>
      <c r="BJ25">
        <v>12817437</v>
      </c>
      <c r="BK25">
        <v>12308972.98</v>
      </c>
      <c r="BL25">
        <v>6718233</v>
      </c>
      <c r="BO25" s="1">
        <f t="shared" si="21"/>
        <v>25</v>
      </c>
      <c r="BP25" t="s">
        <v>18</v>
      </c>
      <c r="BQ25" s="106">
        <v>0.49</v>
      </c>
      <c r="BR25" s="106">
        <v>0.5</v>
      </c>
      <c r="BS25" s="106">
        <v>0.51</v>
      </c>
      <c r="BT25" s="106">
        <v>0.51</v>
      </c>
      <c r="BU25" s="2">
        <f t="shared" ca="1" si="22"/>
        <v>0.6</v>
      </c>
      <c r="BV25" s="2"/>
      <c r="BW25" s="1" t="str">
        <f t="shared" si="23"/>
        <v>Central Hawke's Bay District</v>
      </c>
      <c r="BX25" s="107">
        <f t="shared" ca="1" si="24"/>
        <v>7.9176563737061795E-5</v>
      </c>
      <c r="BY25" s="2">
        <f t="shared" ca="1" si="25"/>
        <v>0.10137483069958649</v>
      </c>
      <c r="BZ25" s="2">
        <f t="shared" ca="1" si="26"/>
        <v>-4.5424879258582428E-2</v>
      </c>
    </row>
    <row r="26" spans="1:78" x14ac:dyDescent="0.25">
      <c r="A26">
        <v>29</v>
      </c>
      <c r="B26" t="s">
        <v>21</v>
      </c>
      <c r="C26" s="80">
        <v>1629</v>
      </c>
      <c r="D26" s="80">
        <f t="shared" ca="1" si="2"/>
        <v>1629.3</v>
      </c>
      <c r="E26" s="80">
        <v>15474898155</v>
      </c>
      <c r="F26" s="80">
        <f t="shared" ca="1" si="3"/>
        <v>18332960250</v>
      </c>
      <c r="G26" s="80">
        <v>30667</v>
      </c>
      <c r="H26" s="80">
        <f t="shared" ca="1" si="4"/>
        <v>30736</v>
      </c>
      <c r="I26" s="82">
        <v>1020.8356799523586</v>
      </c>
      <c r="J26" s="80">
        <v>18069680</v>
      </c>
      <c r="K26" s="80">
        <v>9613370</v>
      </c>
      <c r="L26" s="80">
        <v>21167653</v>
      </c>
      <c r="M26" s="80">
        <v>11461557</v>
      </c>
      <c r="N26" s="80">
        <v>19550790</v>
      </c>
      <c r="O26" s="80">
        <v>10525129</v>
      </c>
      <c r="P26" s="80">
        <v>16962625</v>
      </c>
      <c r="Q26" s="80">
        <v>8919386</v>
      </c>
      <c r="R26" s="80">
        <f t="shared" ca="1" si="5"/>
        <v>18058512.260000005</v>
      </c>
      <c r="S26" s="80">
        <f t="shared" ca="1" si="6"/>
        <v>9458526</v>
      </c>
      <c r="T26" s="80">
        <f t="shared" ca="1" si="7"/>
        <v>19758881.419999994</v>
      </c>
      <c r="U26" s="80">
        <f t="shared" ca="1" si="8"/>
        <v>10453572</v>
      </c>
      <c r="V26" s="80">
        <f t="shared" ca="1" si="9"/>
        <v>23635721.579999994</v>
      </c>
      <c r="W26" s="80">
        <f t="shared" ca="1" si="10"/>
        <v>12817437</v>
      </c>
      <c r="X26" s="80">
        <f t="shared" ca="1" si="11"/>
        <v>12308972.98</v>
      </c>
      <c r="Y26" s="80">
        <f t="shared" ca="1" si="12"/>
        <v>6718233</v>
      </c>
      <c r="Z26">
        <f t="shared" si="13"/>
        <v>75750748</v>
      </c>
      <c r="AA26">
        <f t="shared" si="14"/>
        <v>40519442</v>
      </c>
      <c r="AB26" s="3">
        <f t="shared" si="15"/>
        <v>35231306</v>
      </c>
      <c r="AC26" s="2">
        <f t="shared" si="0"/>
        <v>0.53490484344788247</v>
      </c>
      <c r="AD26" s="1">
        <f t="shared" ca="1" si="16"/>
        <v>8.8872717650713286E-8</v>
      </c>
      <c r="AE26" s="1">
        <v>86</v>
      </c>
      <c r="AG26" s="1"/>
      <c r="AH26" s="1">
        <f t="shared" si="1"/>
        <v>23</v>
      </c>
      <c r="AI26" s="1">
        <f t="shared" ca="1" si="17"/>
        <v>86</v>
      </c>
      <c r="AJ26" t="s">
        <v>191</v>
      </c>
      <c r="AK26">
        <v>30667</v>
      </c>
      <c r="AL26">
        <v>15185736800</v>
      </c>
      <c r="AM26">
        <v>412438.53610000008</v>
      </c>
      <c r="AN26">
        <v>15474898155</v>
      </c>
      <c r="AO26">
        <v>41487</v>
      </c>
      <c r="AP26">
        <v>30736</v>
      </c>
      <c r="AQ26">
        <v>18332960250</v>
      </c>
      <c r="AR26">
        <v>413120.12610000011</v>
      </c>
      <c r="AS26">
        <v>18332960250</v>
      </c>
      <c r="AU26" s="1">
        <f t="shared" si="18"/>
        <v>16</v>
      </c>
      <c r="AV26" s="1">
        <f t="shared" ca="1" si="19"/>
        <v>81</v>
      </c>
      <c r="AW26" t="s">
        <v>1</v>
      </c>
      <c r="AX26">
        <v>1567.1</v>
      </c>
      <c r="AY26">
        <v>1571.2000000000003</v>
      </c>
      <c r="AZ26">
        <v>1572.1</v>
      </c>
      <c r="BA26">
        <v>1572.8999999999999</v>
      </c>
      <c r="BC26" s="1">
        <f t="shared" si="20"/>
        <v>22</v>
      </c>
      <c r="BD26" t="s">
        <v>69</v>
      </c>
      <c r="BE26">
        <v>4285491.12</v>
      </c>
      <c r="BF26">
        <v>2290050</v>
      </c>
      <c r="BG26">
        <v>4072958.43</v>
      </c>
      <c r="BH26">
        <v>2205601</v>
      </c>
      <c r="BI26">
        <v>3769257.48</v>
      </c>
      <c r="BJ26">
        <v>2037962</v>
      </c>
      <c r="BK26">
        <v>2169858.7000000002</v>
      </c>
      <c r="BL26">
        <v>1254038</v>
      </c>
      <c r="BO26" s="1">
        <f t="shared" si="21"/>
        <v>26</v>
      </c>
      <c r="BP26" t="s">
        <v>251</v>
      </c>
      <c r="BQ26" s="106">
        <v>0.53</v>
      </c>
      <c r="BR26" s="106">
        <v>0.54</v>
      </c>
      <c r="BS26" s="106">
        <v>0.55000000000000004</v>
      </c>
      <c r="BT26" s="106">
        <v>0.64</v>
      </c>
      <c r="BU26" s="2">
        <f t="shared" ca="1" si="22"/>
        <v>0.54</v>
      </c>
      <c r="BV26" s="2"/>
      <c r="BW26" s="1" t="str">
        <f t="shared" si="23"/>
        <v>Hastings District</v>
      </c>
      <c r="BX26" s="107">
        <f t="shared" ca="1" si="24"/>
        <v>1.8416206261507337E-4</v>
      </c>
      <c r="BY26" s="2">
        <f t="shared" ca="1" si="25"/>
        <v>0.18469020386260501</v>
      </c>
      <c r="BZ26" s="2">
        <f t="shared" ca="1" si="26"/>
        <v>2.2499755437440897E-3</v>
      </c>
    </row>
    <row r="27" spans="1:78" x14ac:dyDescent="0.25">
      <c r="A27">
        <v>30</v>
      </c>
      <c r="B27" t="s">
        <v>22</v>
      </c>
      <c r="C27" s="80">
        <v>356</v>
      </c>
      <c r="D27" s="80">
        <f t="shared" ca="1" si="2"/>
        <v>356.4</v>
      </c>
      <c r="E27" s="80">
        <v>9869310750</v>
      </c>
      <c r="F27" s="80">
        <f t="shared" ca="1" si="3"/>
        <v>12080283020</v>
      </c>
      <c r="G27" s="80">
        <v>24983</v>
      </c>
      <c r="H27" s="80">
        <f t="shared" ca="1" si="4"/>
        <v>25211</v>
      </c>
      <c r="I27" s="82">
        <v>1014.3476475989845</v>
      </c>
      <c r="J27" s="80">
        <v>6329133</v>
      </c>
      <c r="K27" s="80">
        <v>3110665</v>
      </c>
      <c r="L27" s="80">
        <v>5961098</v>
      </c>
      <c r="M27" s="80">
        <v>2934831</v>
      </c>
      <c r="N27" s="80">
        <v>7730184</v>
      </c>
      <c r="O27" s="80">
        <v>3788206</v>
      </c>
      <c r="P27" s="80">
        <v>6151700</v>
      </c>
      <c r="Q27" s="80">
        <v>2996001</v>
      </c>
      <c r="R27" s="80">
        <f t="shared" ca="1" si="5"/>
        <v>6262816.0099999998</v>
      </c>
      <c r="S27" s="80">
        <f t="shared" ca="1" si="6"/>
        <v>3036111</v>
      </c>
      <c r="T27" s="80">
        <f t="shared" ca="1" si="7"/>
        <v>6608491.3899999997</v>
      </c>
      <c r="U27" s="80">
        <f t="shared" ca="1" si="8"/>
        <v>3202035</v>
      </c>
      <c r="V27" s="80">
        <f t="shared" ca="1" si="9"/>
        <v>6965468.0900000008</v>
      </c>
      <c r="W27" s="80">
        <f t="shared" ca="1" si="10"/>
        <v>3373384</v>
      </c>
      <c r="X27" s="80">
        <f t="shared" ca="1" si="11"/>
        <v>3246264.7299999995</v>
      </c>
      <c r="Y27" s="80">
        <f t="shared" ca="1" si="12"/>
        <v>1655595</v>
      </c>
      <c r="Z27">
        <f t="shared" si="13"/>
        <v>26172115</v>
      </c>
      <c r="AA27">
        <f t="shared" si="14"/>
        <v>12829703</v>
      </c>
      <c r="AB27" s="3">
        <f t="shared" si="15"/>
        <v>13342412</v>
      </c>
      <c r="AC27" s="2">
        <f t="shared" si="0"/>
        <v>0.49020505220919286</v>
      </c>
      <c r="AD27" s="1">
        <f t="shared" ca="1" si="16"/>
        <v>2.9502620047059126E-8</v>
      </c>
      <c r="AE27" s="1">
        <v>86</v>
      </c>
      <c r="AG27" s="1"/>
      <c r="AH27" s="1">
        <f t="shared" si="1"/>
        <v>24</v>
      </c>
      <c r="AI27" s="1">
        <f t="shared" ca="1" si="17"/>
        <v>86</v>
      </c>
      <c r="AJ27" t="s">
        <v>192</v>
      </c>
      <c r="AK27">
        <v>24983</v>
      </c>
      <c r="AL27">
        <v>9883234850</v>
      </c>
      <c r="AM27">
        <v>7691.9773999999979</v>
      </c>
      <c r="AN27">
        <v>9869310750</v>
      </c>
      <c r="AO27">
        <v>41883</v>
      </c>
      <c r="AP27">
        <v>25211</v>
      </c>
      <c r="AQ27">
        <v>10103557650</v>
      </c>
      <c r="AR27">
        <v>7659.6473999999953</v>
      </c>
      <c r="AS27">
        <v>12080283020</v>
      </c>
      <c r="AU27" s="1">
        <f t="shared" si="18"/>
        <v>31</v>
      </c>
      <c r="AV27" s="1">
        <f t="shared" ca="1" si="19"/>
        <v>89</v>
      </c>
      <c r="AW27" t="s">
        <v>35</v>
      </c>
      <c r="AX27">
        <v>397</v>
      </c>
      <c r="AY27">
        <v>402.7</v>
      </c>
      <c r="AZ27">
        <v>404.6</v>
      </c>
      <c r="BA27">
        <v>407.8</v>
      </c>
      <c r="BC27" s="1">
        <f t="shared" si="20"/>
        <v>24</v>
      </c>
      <c r="BD27" t="s">
        <v>22</v>
      </c>
      <c r="BE27">
        <v>6262816.0099999998</v>
      </c>
      <c r="BF27">
        <v>3036111</v>
      </c>
      <c r="BG27">
        <v>6608491.3899999997</v>
      </c>
      <c r="BH27">
        <v>3202035</v>
      </c>
      <c r="BI27">
        <v>6965468.0900000008</v>
      </c>
      <c r="BJ27">
        <v>3373384</v>
      </c>
      <c r="BK27">
        <v>3246264.7299999995</v>
      </c>
      <c r="BL27">
        <v>1655595</v>
      </c>
      <c r="BO27" s="1">
        <f t="shared" si="21"/>
        <v>28</v>
      </c>
      <c r="BP27" t="s">
        <v>19</v>
      </c>
      <c r="BQ27" s="106">
        <v>0.61</v>
      </c>
      <c r="BR27" s="106">
        <v>0.62</v>
      </c>
      <c r="BS27" s="106">
        <v>0.63</v>
      </c>
      <c r="BT27" s="106">
        <v>0.67</v>
      </c>
      <c r="BU27" s="2">
        <f t="shared" ca="1" si="22"/>
        <v>0.51</v>
      </c>
      <c r="BV27" s="2"/>
      <c r="BW27" s="1" t="str">
        <f t="shared" si="23"/>
        <v>Napier City</v>
      </c>
      <c r="BX27" s="107">
        <f t="shared" ca="1" si="24"/>
        <v>1.1235955056179137E-3</v>
      </c>
      <c r="BY27" s="2">
        <f t="shared" ca="1" si="25"/>
        <v>0.22402499282941313</v>
      </c>
      <c r="BZ27" s="2">
        <f t="shared" ca="1" si="26"/>
        <v>9.1262058199575707E-3</v>
      </c>
    </row>
    <row r="28" spans="1:78" x14ac:dyDescent="0.25">
      <c r="A28">
        <v>31</v>
      </c>
      <c r="B28" t="s">
        <v>23</v>
      </c>
      <c r="C28" s="80">
        <v>898</v>
      </c>
      <c r="D28" s="80">
        <f t="shared" ca="1" si="2"/>
        <v>897.6</v>
      </c>
      <c r="E28" s="80">
        <v>1692562679</v>
      </c>
      <c r="F28" s="80">
        <f t="shared" ca="1" si="3"/>
        <v>1900847940</v>
      </c>
      <c r="G28" s="80">
        <v>6718</v>
      </c>
      <c r="H28" s="80">
        <f t="shared" ca="1" si="4"/>
        <v>6623</v>
      </c>
      <c r="I28" s="82">
        <v>1099.1204060203011</v>
      </c>
      <c r="J28" s="80">
        <v>6937548</v>
      </c>
      <c r="K28" s="80">
        <v>4729213</v>
      </c>
      <c r="L28" s="80">
        <v>7186610</v>
      </c>
      <c r="M28" s="80">
        <v>4867981</v>
      </c>
      <c r="N28" s="80">
        <v>8637754</v>
      </c>
      <c r="O28" s="80">
        <v>6036216</v>
      </c>
      <c r="P28" s="80">
        <v>7422527</v>
      </c>
      <c r="Q28" s="80">
        <v>5007986</v>
      </c>
      <c r="R28" s="80">
        <f t="shared" ca="1" si="5"/>
        <v>13009144.279999999</v>
      </c>
      <c r="S28" s="80">
        <f t="shared" ca="1" si="6"/>
        <v>10128636</v>
      </c>
      <c r="T28" s="80">
        <f t="shared" ca="1" si="7"/>
        <v>10646502.799999999</v>
      </c>
      <c r="U28" s="80">
        <f t="shared" ca="1" si="8"/>
        <v>8089281</v>
      </c>
      <c r="V28" s="80">
        <f t="shared" ca="1" si="9"/>
        <v>10070182.82</v>
      </c>
      <c r="W28" s="80">
        <f t="shared" ca="1" si="10"/>
        <v>7202114</v>
      </c>
      <c r="X28" s="80">
        <f t="shared" ca="1" si="11"/>
        <v>2364367.6500000004</v>
      </c>
      <c r="Y28" s="80">
        <f t="shared" ca="1" si="12"/>
        <v>1607770</v>
      </c>
      <c r="Z28">
        <f t="shared" si="13"/>
        <v>30184439</v>
      </c>
      <c r="AA28">
        <f t="shared" si="14"/>
        <v>20641396</v>
      </c>
      <c r="AB28" s="3">
        <f t="shared" si="15"/>
        <v>9543043</v>
      </c>
      <c r="AC28" s="2">
        <f t="shared" si="0"/>
        <v>0.68384229370636973</v>
      </c>
      <c r="AD28" s="1">
        <f t="shared" ca="1" si="16"/>
        <v>4.722103126250067E-7</v>
      </c>
      <c r="AE28" s="1">
        <v>86</v>
      </c>
      <c r="AG28" s="1"/>
      <c r="AH28" s="1">
        <f t="shared" si="1"/>
        <v>22</v>
      </c>
      <c r="AI28" s="1">
        <f t="shared" ca="1" si="17"/>
        <v>86</v>
      </c>
      <c r="AJ28" t="s">
        <v>245</v>
      </c>
      <c r="AK28">
        <v>7661</v>
      </c>
      <c r="AL28">
        <v>3749735950</v>
      </c>
      <c r="AM28">
        <v>305833.36</v>
      </c>
      <c r="AN28">
        <v>3982104125</v>
      </c>
      <c r="AO28">
        <v>42248</v>
      </c>
      <c r="AP28">
        <v>7313</v>
      </c>
      <c r="AQ28">
        <v>4162272850</v>
      </c>
      <c r="AR28">
        <v>305782.83999999985</v>
      </c>
      <c r="AS28">
        <v>4385789256.5</v>
      </c>
      <c r="AU28" s="1">
        <f t="shared" si="18"/>
        <v>59</v>
      </c>
      <c r="AV28" s="1">
        <f t="shared" ca="1" si="19"/>
        <v>84</v>
      </c>
      <c r="AW28" t="s">
        <v>14</v>
      </c>
      <c r="AX28">
        <v>39.6</v>
      </c>
      <c r="AY28">
        <v>39.6</v>
      </c>
      <c r="AZ28">
        <v>39.6</v>
      </c>
      <c r="BA28">
        <v>39.6</v>
      </c>
      <c r="BC28" s="1">
        <f t="shared" si="20"/>
        <v>25</v>
      </c>
      <c r="BD28" t="s">
        <v>23</v>
      </c>
      <c r="BE28">
        <v>13009144.279999999</v>
      </c>
      <c r="BF28">
        <v>10128636</v>
      </c>
      <c r="BG28">
        <v>10646502.799999999</v>
      </c>
      <c r="BH28">
        <v>8089281</v>
      </c>
      <c r="BI28">
        <v>10070182.82</v>
      </c>
      <c r="BJ28">
        <v>7202114</v>
      </c>
      <c r="BK28">
        <v>2364367.6500000004</v>
      </c>
      <c r="BL28">
        <v>1607770</v>
      </c>
      <c r="BO28" s="1">
        <f t="shared" si="21"/>
        <v>29</v>
      </c>
      <c r="BP28" t="s">
        <v>20</v>
      </c>
      <c r="BQ28" s="106">
        <v>0.6</v>
      </c>
      <c r="BR28" s="106">
        <v>0.6</v>
      </c>
      <c r="BS28" s="106">
        <v>0.6</v>
      </c>
      <c r="BT28" s="106">
        <v>0.6</v>
      </c>
      <c r="BU28" s="2">
        <f t="shared" ca="1" si="22"/>
        <v>0.75</v>
      </c>
      <c r="BV28" s="2"/>
      <c r="BW28" s="1" t="str">
        <f t="shared" si="23"/>
        <v>Wairoa District</v>
      </c>
      <c r="BX28" s="107">
        <f t="shared" ca="1" si="24"/>
        <v>-4.4543429844095465E-4</v>
      </c>
      <c r="BY28" s="2">
        <f t="shared" ca="1" si="25"/>
        <v>0.12305911242416093</v>
      </c>
      <c r="BZ28" s="2">
        <f t="shared" ca="1" si="26"/>
        <v>-1.4141113426615065E-2</v>
      </c>
    </row>
    <row r="29" spans="1:78" x14ac:dyDescent="0.25">
      <c r="A29">
        <v>32</v>
      </c>
      <c r="B29" t="s">
        <v>24</v>
      </c>
      <c r="C29" s="80">
        <v>1279</v>
      </c>
      <c r="D29" s="80">
        <f t="shared" ca="1" si="2"/>
        <v>1278.5</v>
      </c>
      <c r="E29" s="80">
        <v>17006888443</v>
      </c>
      <c r="F29" s="80">
        <f t="shared" ca="1" si="3"/>
        <v>19608070564.5</v>
      </c>
      <c r="G29" s="80">
        <v>34945</v>
      </c>
      <c r="H29" s="80">
        <f t="shared" ca="1" si="4"/>
        <v>34734</v>
      </c>
      <c r="I29" s="82">
        <v>993.26911636045497</v>
      </c>
      <c r="J29" s="80">
        <v>14366072</v>
      </c>
      <c r="K29" s="80">
        <v>7701381</v>
      </c>
      <c r="L29" s="80">
        <v>14896049</v>
      </c>
      <c r="M29" s="80">
        <v>7853123</v>
      </c>
      <c r="N29" s="80">
        <v>16144738</v>
      </c>
      <c r="O29" s="80">
        <v>8697588</v>
      </c>
      <c r="P29" s="80">
        <v>14155203</v>
      </c>
      <c r="Q29" s="80">
        <v>7427925</v>
      </c>
      <c r="R29" s="80">
        <f t="shared" ca="1" si="5"/>
        <v>15349609.060000001</v>
      </c>
      <c r="S29" s="80">
        <f t="shared" ca="1" si="6"/>
        <v>7994832</v>
      </c>
      <c r="T29" s="80">
        <f t="shared" ca="1" si="7"/>
        <v>16717509.26</v>
      </c>
      <c r="U29" s="80">
        <f t="shared" ca="1" si="8"/>
        <v>8567629</v>
      </c>
      <c r="V29" s="80">
        <f t="shared" ca="1" si="9"/>
        <v>14956482.370000001</v>
      </c>
      <c r="W29" s="80">
        <f t="shared" ca="1" si="10"/>
        <v>7695583</v>
      </c>
      <c r="X29" s="80">
        <f t="shared" ca="1" si="11"/>
        <v>5228057.7000000011</v>
      </c>
      <c r="Y29" s="80">
        <f t="shared" ca="1" si="12"/>
        <v>2718590</v>
      </c>
      <c r="Z29">
        <f t="shared" si="13"/>
        <v>59562062</v>
      </c>
      <c r="AA29">
        <f t="shared" si="14"/>
        <v>31680017</v>
      </c>
      <c r="AB29" s="3">
        <f t="shared" si="15"/>
        <v>27882045</v>
      </c>
      <c r="AC29" s="2">
        <f t="shared" si="0"/>
        <v>0.53188247579474335</v>
      </c>
      <c r="AD29" s="1">
        <f t="shared" ca="1" si="16"/>
        <v>6.5202743727100691E-8</v>
      </c>
      <c r="AE29" s="1">
        <v>87</v>
      </c>
      <c r="AG29" s="1"/>
      <c r="AH29" s="1">
        <f t="shared" si="1"/>
        <v>26</v>
      </c>
      <c r="AI29" s="1">
        <f t="shared" ca="1" si="17"/>
        <v>87</v>
      </c>
      <c r="AJ29" t="s">
        <v>193</v>
      </c>
      <c r="AK29">
        <v>34945</v>
      </c>
      <c r="AL29">
        <v>16669736100</v>
      </c>
      <c r="AM29">
        <v>156443.09569999995</v>
      </c>
      <c r="AN29">
        <v>17006888443</v>
      </c>
      <c r="AO29">
        <v>41518</v>
      </c>
      <c r="AP29">
        <v>34734</v>
      </c>
      <c r="AQ29">
        <v>16959207490</v>
      </c>
      <c r="AR29">
        <v>155717.44569999972</v>
      </c>
      <c r="AS29">
        <v>19608070564.5</v>
      </c>
      <c r="AU29" s="1">
        <f t="shared" si="18"/>
        <v>33</v>
      </c>
      <c r="AV29" s="1">
        <f t="shared" ca="1" si="19"/>
        <v>91</v>
      </c>
      <c r="AW29" t="s">
        <v>253</v>
      </c>
      <c r="AX29">
        <v>713</v>
      </c>
      <c r="AY29">
        <v>713.8</v>
      </c>
      <c r="AZ29">
        <v>717</v>
      </c>
      <c r="BA29">
        <v>727.4</v>
      </c>
      <c r="BC29" s="1">
        <f t="shared" si="20"/>
        <v>50</v>
      </c>
      <c r="BD29" t="s">
        <v>71</v>
      </c>
      <c r="BE29">
        <v>4911953.9600000009</v>
      </c>
      <c r="BF29">
        <v>2681455</v>
      </c>
      <c r="BG29">
        <v>4949767.1300000008</v>
      </c>
      <c r="BH29">
        <v>2709189</v>
      </c>
      <c r="BI29">
        <v>5321805.5300000012</v>
      </c>
      <c r="BJ29">
        <v>2917145</v>
      </c>
      <c r="BK29">
        <v>3007546.77</v>
      </c>
      <c r="BL29">
        <v>1673151.88</v>
      </c>
      <c r="BO29" s="1">
        <f t="shared" si="21"/>
        <v>30</v>
      </c>
      <c r="BP29" t="s">
        <v>21</v>
      </c>
      <c r="BQ29" s="106">
        <v>0.54</v>
      </c>
      <c r="BR29" s="106">
        <v>0.54</v>
      </c>
      <c r="BS29" s="106">
        <v>0.54</v>
      </c>
      <c r="BT29" s="106">
        <v>0.54</v>
      </c>
      <c r="BU29" s="2">
        <f t="shared" ca="1" si="22"/>
        <v>0.51</v>
      </c>
      <c r="BV29" s="2"/>
      <c r="BW29" s="1" t="str">
        <f t="shared" si="23"/>
        <v>New Plymouth District</v>
      </c>
      <c r="BX29" s="107">
        <f t="shared" ca="1" si="24"/>
        <v>-3.9093041438623924E-4</v>
      </c>
      <c r="BY29" s="2">
        <f t="shared" ca="1" si="25"/>
        <v>0.15294873781397919</v>
      </c>
      <c r="BZ29" s="2">
        <f t="shared" ca="1" si="26"/>
        <v>-6.0380598082701385E-3</v>
      </c>
    </row>
    <row r="30" spans="1:78" x14ac:dyDescent="0.25">
      <c r="A30">
        <v>33</v>
      </c>
      <c r="B30" t="s">
        <v>25</v>
      </c>
      <c r="C30" s="80">
        <v>1625</v>
      </c>
      <c r="D30" s="80">
        <f t="shared" ca="1" si="2"/>
        <v>1624.4</v>
      </c>
      <c r="E30" s="80">
        <v>8394046050</v>
      </c>
      <c r="F30" s="80">
        <f t="shared" ca="1" si="3"/>
        <v>10761034474.5</v>
      </c>
      <c r="G30" s="80">
        <v>14889</v>
      </c>
      <c r="H30" s="80">
        <f t="shared" ca="1" si="4"/>
        <v>14150</v>
      </c>
      <c r="I30" s="82">
        <v>1017.194564475779</v>
      </c>
      <c r="J30" s="80">
        <v>12175817</v>
      </c>
      <c r="K30" s="80">
        <v>6265873</v>
      </c>
      <c r="L30" s="80">
        <v>11528293</v>
      </c>
      <c r="M30" s="80">
        <v>5901730</v>
      </c>
      <c r="N30" s="80">
        <v>12736193</v>
      </c>
      <c r="O30" s="80">
        <v>6550077</v>
      </c>
      <c r="P30" s="80">
        <v>12166369</v>
      </c>
      <c r="Q30" s="80">
        <v>6293251</v>
      </c>
      <c r="R30" s="80">
        <f t="shared" ca="1" si="5"/>
        <v>12660004.789999999</v>
      </c>
      <c r="S30" s="80">
        <f t="shared" ca="1" si="6"/>
        <v>6542754</v>
      </c>
      <c r="T30" s="80">
        <f t="shared" ca="1" si="7"/>
        <v>13056251.810000001</v>
      </c>
      <c r="U30" s="80">
        <f t="shared" ca="1" si="8"/>
        <v>6749114</v>
      </c>
      <c r="V30" s="80">
        <f t="shared" ca="1" si="9"/>
        <v>13130237.029999997</v>
      </c>
      <c r="W30" s="80">
        <f t="shared" ca="1" si="10"/>
        <v>6814856</v>
      </c>
      <c r="X30" s="80">
        <f t="shared" ca="1" si="11"/>
        <v>6445479.6699999999</v>
      </c>
      <c r="Y30" s="80">
        <f t="shared" ca="1" si="12"/>
        <v>3485112</v>
      </c>
      <c r="Z30">
        <f t="shared" si="13"/>
        <v>48606672</v>
      </c>
      <c r="AA30">
        <f t="shared" si="14"/>
        <v>25010931</v>
      </c>
      <c r="AB30" s="3">
        <f t="shared" si="15"/>
        <v>23595741</v>
      </c>
      <c r="AC30" s="2">
        <f t="shared" si="0"/>
        <v>0.5145575693805986</v>
      </c>
      <c r="AD30" s="1">
        <f t="shared" ca="1" si="16"/>
        <v>1.509520301091198E-7</v>
      </c>
      <c r="AE30" s="1">
        <v>87</v>
      </c>
      <c r="AG30" s="1"/>
      <c r="AH30" s="1">
        <f t="shared" si="1"/>
        <v>28</v>
      </c>
      <c r="AI30" s="1">
        <f t="shared" ca="1" si="17"/>
        <v>87</v>
      </c>
      <c r="AJ30" t="s">
        <v>194</v>
      </c>
      <c r="AK30">
        <v>4954</v>
      </c>
      <c r="AL30">
        <v>2720012550</v>
      </c>
      <c r="AM30">
        <v>132353.37730000002</v>
      </c>
      <c r="AN30">
        <v>2720849675</v>
      </c>
      <c r="AO30">
        <v>41883</v>
      </c>
      <c r="AP30">
        <v>4971</v>
      </c>
      <c r="AQ30">
        <v>2765477450</v>
      </c>
      <c r="AR30">
        <v>132419.01730000007</v>
      </c>
      <c r="AS30">
        <v>2936693213.5</v>
      </c>
      <c r="AU30" s="1">
        <f t="shared" si="18"/>
        <v>43</v>
      </c>
      <c r="AV30" s="1">
        <f t="shared" ca="1" si="19"/>
        <v>88</v>
      </c>
      <c r="AW30" t="s">
        <v>28</v>
      </c>
      <c r="AX30">
        <v>1359.4</v>
      </c>
      <c r="AY30">
        <v>1364.5</v>
      </c>
      <c r="AZ30">
        <v>1364.5</v>
      </c>
      <c r="BA30">
        <v>1369.6</v>
      </c>
      <c r="BC30" s="1">
        <f t="shared" si="20"/>
        <v>51</v>
      </c>
      <c r="BD30" t="s">
        <v>27</v>
      </c>
      <c r="BE30">
        <v>4365514.34</v>
      </c>
      <c r="BF30">
        <v>2073147</v>
      </c>
      <c r="BG30">
        <v>4333592.29</v>
      </c>
      <c r="BH30">
        <v>2058351</v>
      </c>
      <c r="BI30">
        <v>4527759.6799999988</v>
      </c>
      <c r="BJ30">
        <v>2149506</v>
      </c>
      <c r="BK30">
        <v>2371498</v>
      </c>
      <c r="BL30">
        <v>1185749</v>
      </c>
      <c r="BO30" s="1">
        <f t="shared" si="21"/>
        <v>31</v>
      </c>
      <c r="BP30" t="s">
        <v>69</v>
      </c>
      <c r="BQ30" s="106">
        <v>0.53</v>
      </c>
      <c r="BR30" s="106">
        <v>0.52</v>
      </c>
      <c r="BS30" s="106">
        <v>0.51</v>
      </c>
      <c r="BT30" s="106">
        <v>0.51</v>
      </c>
      <c r="BU30" s="2">
        <f t="shared" ca="1" si="22"/>
        <v>0.57999999999999996</v>
      </c>
      <c r="BV30" s="2"/>
      <c r="BW30" s="1" t="str">
        <f t="shared" si="23"/>
        <v>South Taranaki District</v>
      </c>
      <c r="BX30" s="107">
        <f t="shared" ca="1" si="24"/>
        <v>-3.6923076923071327E-4</v>
      </c>
      <c r="BY30" s="2">
        <f t="shared" ca="1" si="25"/>
        <v>0.28198420766347831</v>
      </c>
      <c r="BZ30" s="2">
        <f t="shared" ca="1" si="26"/>
        <v>-4.9633957955537648E-2</v>
      </c>
    </row>
    <row r="31" spans="1:78" x14ac:dyDescent="0.25">
      <c r="A31">
        <v>34</v>
      </c>
      <c r="B31" t="s">
        <v>26</v>
      </c>
      <c r="C31" s="80">
        <v>598</v>
      </c>
      <c r="D31" s="80">
        <f t="shared" ca="1" si="2"/>
        <v>597.80000000000007</v>
      </c>
      <c r="E31" s="80">
        <v>2720849675</v>
      </c>
      <c r="F31" s="80">
        <f t="shared" ca="1" si="3"/>
        <v>2936693213.5</v>
      </c>
      <c r="G31" s="80">
        <v>4954</v>
      </c>
      <c r="H31" s="80">
        <f t="shared" ca="1" si="4"/>
        <v>4971</v>
      </c>
      <c r="I31" s="82">
        <v>996.44773109243692</v>
      </c>
      <c r="J31" s="80">
        <v>4215946</v>
      </c>
      <c r="K31" s="80">
        <v>2238769</v>
      </c>
      <c r="L31" s="80">
        <v>3878787</v>
      </c>
      <c r="M31" s="80">
        <v>2092417</v>
      </c>
      <c r="N31" s="80">
        <v>4836136</v>
      </c>
      <c r="O31" s="80">
        <v>2658631</v>
      </c>
      <c r="P31" s="80">
        <v>4148885</v>
      </c>
      <c r="Q31" s="80">
        <v>2248934</v>
      </c>
      <c r="R31" s="80">
        <f t="shared" ca="1" si="5"/>
        <v>4261296.92</v>
      </c>
      <c r="S31" s="80">
        <f t="shared" ca="1" si="6"/>
        <v>2241738</v>
      </c>
      <c r="T31" s="80">
        <f t="shared" ca="1" si="7"/>
        <v>4989045.08</v>
      </c>
      <c r="U31" s="80">
        <f t="shared" ca="1" si="8"/>
        <v>2673862</v>
      </c>
      <c r="V31" s="80">
        <f t="shared" ca="1" si="9"/>
        <v>5688686.71</v>
      </c>
      <c r="W31" s="80">
        <f t="shared" ca="1" si="10"/>
        <v>2993410</v>
      </c>
      <c r="X31" s="80">
        <f t="shared" ca="1" si="11"/>
        <v>2342700.15</v>
      </c>
      <c r="Y31" s="80">
        <f t="shared" ca="1" si="12"/>
        <v>1298536</v>
      </c>
      <c r="Z31">
        <f t="shared" si="13"/>
        <v>17079754</v>
      </c>
      <c r="AA31">
        <f t="shared" si="14"/>
        <v>9238751</v>
      </c>
      <c r="AB31" s="3">
        <f t="shared" si="15"/>
        <v>7841003</v>
      </c>
      <c r="AC31" s="2">
        <f t="shared" si="0"/>
        <v>0.5409182708369219</v>
      </c>
      <c r="AD31" s="1">
        <f t="shared" ca="1" si="16"/>
        <v>2.0356229150934429E-7</v>
      </c>
      <c r="AE31" s="1">
        <v>87</v>
      </c>
      <c r="AH31" s="1">
        <f t="shared" si="1"/>
        <v>27</v>
      </c>
      <c r="AI31" s="1">
        <f t="shared" ca="1" si="17"/>
        <v>87</v>
      </c>
      <c r="AJ31" t="s">
        <v>195</v>
      </c>
      <c r="AK31">
        <v>14889</v>
      </c>
      <c r="AL31">
        <v>8458043100</v>
      </c>
      <c r="AM31">
        <v>283230.51540000009</v>
      </c>
      <c r="AN31">
        <v>8394046050</v>
      </c>
      <c r="AO31">
        <v>42248</v>
      </c>
      <c r="AP31">
        <v>14150</v>
      </c>
      <c r="AQ31">
        <v>10232081000</v>
      </c>
      <c r="AR31">
        <v>282729.37539999984</v>
      </c>
      <c r="AS31">
        <v>10761034474.5</v>
      </c>
      <c r="AU31" s="1">
        <f t="shared" si="18"/>
        <v>47</v>
      </c>
      <c r="AV31" s="1">
        <f t="shared" ca="1" si="19"/>
        <v>51</v>
      </c>
      <c r="AW31" t="s">
        <v>43</v>
      </c>
      <c r="AX31">
        <v>1531.6</v>
      </c>
      <c r="AY31">
        <v>1529.5</v>
      </c>
      <c r="AZ31">
        <v>1535</v>
      </c>
      <c r="BA31">
        <v>1535.1999999999998</v>
      </c>
      <c r="BC31" s="1">
        <f t="shared" si="20"/>
        <v>52</v>
      </c>
      <c r="BD31" t="s">
        <v>28</v>
      </c>
      <c r="BE31">
        <v>9855640.6399999987</v>
      </c>
      <c r="BF31">
        <v>5276397</v>
      </c>
      <c r="BG31">
        <v>10159535.68</v>
      </c>
      <c r="BH31">
        <v>5487388</v>
      </c>
      <c r="BI31">
        <v>10086168.540000001</v>
      </c>
      <c r="BJ31">
        <v>5403236</v>
      </c>
      <c r="BK31">
        <v>7116294.4399999985</v>
      </c>
      <c r="BL31">
        <v>3842799</v>
      </c>
      <c r="BO31" s="1">
        <f t="shared" si="21"/>
        <v>32</v>
      </c>
      <c r="BP31" t="s">
        <v>22</v>
      </c>
      <c r="BQ31" s="106">
        <v>0.51</v>
      </c>
      <c r="BR31" s="106">
        <v>0.51</v>
      </c>
      <c r="BS31" s="106">
        <v>0.51</v>
      </c>
      <c r="BT31" s="106">
        <v>0.51</v>
      </c>
      <c r="BU31" s="2">
        <f t="shared" ca="1" si="22"/>
        <v>0.56999999999999995</v>
      </c>
      <c r="BV31" s="2"/>
      <c r="BW31" s="1" t="str">
        <f t="shared" si="23"/>
        <v>Stratford District</v>
      </c>
      <c r="BX31" s="107">
        <f t="shared" ca="1" si="24"/>
        <v>-3.3444816053500298E-4</v>
      </c>
      <c r="BY31" s="2">
        <f t="shared" ca="1" si="25"/>
        <v>7.9329461117692956E-2</v>
      </c>
      <c r="BZ31" s="2">
        <f t="shared" ca="1" si="26"/>
        <v>3.4315704481227291E-3</v>
      </c>
    </row>
    <row r="32" spans="1:78" x14ac:dyDescent="0.25">
      <c r="A32">
        <v>35</v>
      </c>
      <c r="B32" t="s">
        <v>27</v>
      </c>
      <c r="C32" s="80">
        <v>581</v>
      </c>
      <c r="D32" s="80">
        <f t="shared" ca="1" si="2"/>
        <v>579.9</v>
      </c>
      <c r="E32" s="80">
        <v>5391277432</v>
      </c>
      <c r="F32" s="80">
        <f t="shared" ca="1" si="3"/>
        <v>6327531300</v>
      </c>
      <c r="G32" s="80">
        <v>17608</v>
      </c>
      <c r="H32" s="80">
        <f t="shared" ca="1" si="4"/>
        <v>17483</v>
      </c>
      <c r="I32" s="82">
        <v>1044.1223832528181</v>
      </c>
      <c r="J32" s="80">
        <v>4274376</v>
      </c>
      <c r="K32" s="80">
        <v>2050372</v>
      </c>
      <c r="L32" s="80">
        <v>4006260</v>
      </c>
      <c r="M32" s="80">
        <v>1899728</v>
      </c>
      <c r="N32" s="80">
        <v>4036213</v>
      </c>
      <c r="O32" s="80">
        <v>1906766</v>
      </c>
      <c r="P32" s="80">
        <v>4309649</v>
      </c>
      <c r="Q32" s="80">
        <v>2067733</v>
      </c>
      <c r="R32" s="80">
        <f t="shared" ca="1" si="5"/>
        <v>4365514.34</v>
      </c>
      <c r="S32" s="80">
        <f t="shared" ca="1" si="6"/>
        <v>2073147</v>
      </c>
      <c r="T32" s="80">
        <f t="shared" ca="1" si="7"/>
        <v>4333592.29</v>
      </c>
      <c r="U32" s="80">
        <f t="shared" ca="1" si="8"/>
        <v>2058351</v>
      </c>
      <c r="V32" s="80">
        <f t="shared" ca="1" si="9"/>
        <v>4527759.6799999988</v>
      </c>
      <c r="W32" s="80">
        <f t="shared" ca="1" si="10"/>
        <v>2149506</v>
      </c>
      <c r="X32" s="80">
        <f t="shared" ca="1" si="11"/>
        <v>2371498</v>
      </c>
      <c r="Y32" s="80">
        <f t="shared" ca="1" si="12"/>
        <v>1185749</v>
      </c>
      <c r="Z32">
        <f t="shared" si="13"/>
        <v>16626498</v>
      </c>
      <c r="AA32">
        <f t="shared" si="14"/>
        <v>7924599</v>
      </c>
      <c r="AB32" s="3">
        <f t="shared" si="15"/>
        <v>8701899</v>
      </c>
      <c r="AC32" s="2">
        <f t="shared" si="0"/>
        <v>0.4766246626319024</v>
      </c>
      <c r="AD32" s="1">
        <f t="shared" ca="1" si="16"/>
        <v>9.1647116783128359E-8</v>
      </c>
      <c r="AE32" s="1">
        <v>88</v>
      </c>
      <c r="AH32" s="1">
        <f t="shared" si="1"/>
        <v>35</v>
      </c>
      <c r="AI32" s="1">
        <f t="shared" ca="1" si="17"/>
        <v>88</v>
      </c>
      <c r="AJ32" t="s">
        <v>196</v>
      </c>
      <c r="AK32">
        <v>8965</v>
      </c>
      <c r="AL32">
        <v>3644150000</v>
      </c>
      <c r="AM32">
        <v>391463.87460000004</v>
      </c>
      <c r="AN32">
        <v>3687937830.5</v>
      </c>
      <c r="AO32">
        <v>41821</v>
      </c>
      <c r="AP32">
        <v>8981</v>
      </c>
      <c r="AQ32">
        <v>3770299350</v>
      </c>
      <c r="AR32">
        <v>391415.43460000004</v>
      </c>
      <c r="AS32">
        <v>4059233079</v>
      </c>
      <c r="AU32" s="1">
        <f t="shared" si="18"/>
        <v>18</v>
      </c>
      <c r="AV32" s="1">
        <f t="shared" ca="1" si="19"/>
        <v>89</v>
      </c>
      <c r="AW32" t="s">
        <v>37</v>
      </c>
      <c r="AX32">
        <v>803.4</v>
      </c>
      <c r="AY32">
        <v>804.09999999999991</v>
      </c>
      <c r="AZ32">
        <v>804.2</v>
      </c>
      <c r="BA32">
        <v>804.2</v>
      </c>
      <c r="BC32" s="1">
        <f t="shared" si="20"/>
        <v>27</v>
      </c>
      <c r="BD32" t="s">
        <v>29</v>
      </c>
      <c r="BE32">
        <v>7352447.7399999993</v>
      </c>
      <c r="BF32">
        <v>3508965</v>
      </c>
      <c r="BG32">
        <v>7855878.4100000001</v>
      </c>
      <c r="BH32">
        <v>3772699</v>
      </c>
      <c r="BI32">
        <v>9146278.9199999981</v>
      </c>
      <c r="BJ32">
        <v>4420436</v>
      </c>
      <c r="BK32">
        <v>3394684.3299999996</v>
      </c>
      <c r="BL32">
        <v>1731289</v>
      </c>
      <c r="BO32" s="1">
        <f t="shared" si="21"/>
        <v>35</v>
      </c>
      <c r="BP32" t="s">
        <v>23</v>
      </c>
      <c r="BQ32" s="106">
        <v>0.68</v>
      </c>
      <c r="BR32" s="106">
        <v>0.69</v>
      </c>
      <c r="BS32" s="106">
        <v>0.7</v>
      </c>
      <c r="BT32" s="106">
        <v>0.75</v>
      </c>
      <c r="BU32" s="2">
        <f t="shared" ca="1" si="22"/>
        <v>0.59</v>
      </c>
      <c r="BV32" s="2"/>
      <c r="BW32" s="1" t="str">
        <f t="shared" si="23"/>
        <v>Horowhenua District</v>
      </c>
      <c r="BX32" s="107">
        <f t="shared" ca="1" si="24"/>
        <v>-1.8932874354561492E-3</v>
      </c>
      <c r="BY32" s="2">
        <f t="shared" ca="1" si="25"/>
        <v>0.17366085863859509</v>
      </c>
      <c r="BZ32" s="2">
        <f t="shared" ca="1" si="26"/>
        <v>-7.0990458882326211E-3</v>
      </c>
    </row>
    <row r="33" spans="1:78" x14ac:dyDescent="0.25">
      <c r="A33">
        <v>36</v>
      </c>
      <c r="B33" t="s">
        <v>28</v>
      </c>
      <c r="C33" s="80">
        <v>1359</v>
      </c>
      <c r="D33" s="80">
        <f t="shared" ca="1" si="2"/>
        <v>1359.4</v>
      </c>
      <c r="E33" s="80">
        <v>6921097174</v>
      </c>
      <c r="F33" s="80">
        <f t="shared" ca="1" si="3"/>
        <v>7928963320</v>
      </c>
      <c r="G33" s="80">
        <v>13870</v>
      </c>
      <c r="H33" s="80">
        <f t="shared" ca="1" si="4"/>
        <v>13552</v>
      </c>
      <c r="I33" s="82">
        <v>982.91856677524424</v>
      </c>
      <c r="J33" s="80">
        <v>9114007</v>
      </c>
      <c r="K33" s="80">
        <v>4788588</v>
      </c>
      <c r="L33" s="80">
        <v>10987084</v>
      </c>
      <c r="M33" s="80">
        <v>5832865</v>
      </c>
      <c r="N33" s="80">
        <v>11523678</v>
      </c>
      <c r="O33" s="80">
        <v>6089206</v>
      </c>
      <c r="P33" s="80">
        <v>9653765</v>
      </c>
      <c r="Q33" s="80">
        <v>5175289</v>
      </c>
      <c r="R33" s="80">
        <f t="shared" ca="1" si="5"/>
        <v>9855640.6399999987</v>
      </c>
      <c r="S33" s="80">
        <f t="shared" ca="1" si="6"/>
        <v>5276397</v>
      </c>
      <c r="T33" s="80">
        <f t="shared" ca="1" si="7"/>
        <v>10159535.68</v>
      </c>
      <c r="U33" s="80">
        <f t="shared" ca="1" si="8"/>
        <v>5487388</v>
      </c>
      <c r="V33" s="80">
        <f t="shared" ca="1" si="9"/>
        <v>10086168.540000001</v>
      </c>
      <c r="W33" s="80">
        <f t="shared" ca="1" si="10"/>
        <v>5403236</v>
      </c>
      <c r="X33" s="80">
        <f t="shared" ca="1" si="11"/>
        <v>7116294.4399999985</v>
      </c>
      <c r="Y33" s="80">
        <f t="shared" ca="1" si="12"/>
        <v>3842799</v>
      </c>
      <c r="Z33">
        <f t="shared" si="13"/>
        <v>41278534</v>
      </c>
      <c r="AA33">
        <f t="shared" si="14"/>
        <v>21885948</v>
      </c>
      <c r="AB33" s="3">
        <f t="shared" si="15"/>
        <v>19392586</v>
      </c>
      <c r="AC33" s="2">
        <f t="shared" si="0"/>
        <v>0.53020167818944341</v>
      </c>
      <c r="AD33" s="1">
        <f t="shared" ca="1" si="16"/>
        <v>1.7144738159792624E-7</v>
      </c>
      <c r="AE33" s="1">
        <v>88</v>
      </c>
      <c r="AH33" s="1">
        <f t="shared" si="1"/>
        <v>32</v>
      </c>
      <c r="AI33" s="1">
        <f t="shared" ca="1" si="17"/>
        <v>88</v>
      </c>
      <c r="AJ33" t="s">
        <v>197</v>
      </c>
      <c r="AK33">
        <v>20913</v>
      </c>
      <c r="AL33">
        <v>5883829750</v>
      </c>
      <c r="AM33">
        <v>181199.98410000012</v>
      </c>
      <c r="AN33">
        <v>5812378380</v>
      </c>
      <c r="AO33">
        <v>41518</v>
      </c>
      <c r="AP33">
        <v>20804</v>
      </c>
      <c r="AQ33">
        <v>6367706000</v>
      </c>
      <c r="AR33">
        <v>181167.72770000002</v>
      </c>
      <c r="AS33">
        <v>6367706000</v>
      </c>
      <c r="AU33" s="1">
        <f t="shared" si="18"/>
        <v>27</v>
      </c>
      <c r="AV33" s="1">
        <f t="shared" ca="1" si="19"/>
        <v>83</v>
      </c>
      <c r="AW33" t="s">
        <v>6</v>
      </c>
      <c r="AX33">
        <v>995.69999999999993</v>
      </c>
      <c r="AY33">
        <v>996</v>
      </c>
      <c r="AZ33">
        <v>997.80000000000007</v>
      </c>
      <c r="BA33">
        <v>997.80000000000007</v>
      </c>
      <c r="BC33" s="1">
        <f t="shared" si="20"/>
        <v>28</v>
      </c>
      <c r="BD33" t="s">
        <v>30</v>
      </c>
      <c r="BE33">
        <v>10965218.24</v>
      </c>
      <c r="BF33">
        <v>6414151</v>
      </c>
      <c r="BG33">
        <v>12570524.73</v>
      </c>
      <c r="BH33">
        <v>7641104</v>
      </c>
      <c r="BI33">
        <v>12443460.589999996</v>
      </c>
      <c r="BJ33">
        <v>7352228</v>
      </c>
      <c r="BK33">
        <v>6598289.6099999994</v>
      </c>
      <c r="BL33">
        <v>4533141</v>
      </c>
      <c r="BO33" s="1">
        <f t="shared" si="21"/>
        <v>36</v>
      </c>
      <c r="BP33" t="s">
        <v>24</v>
      </c>
      <c r="BQ33" s="106">
        <v>0.52</v>
      </c>
      <c r="BR33" s="106">
        <v>0.51</v>
      </c>
      <c r="BS33" s="106">
        <v>0.51</v>
      </c>
      <c r="BT33" s="106">
        <v>0.51</v>
      </c>
      <c r="BU33" s="2">
        <f t="shared" ca="1" si="22"/>
        <v>0.53</v>
      </c>
      <c r="BV33" s="2"/>
      <c r="BW33" s="1" t="str">
        <f t="shared" si="23"/>
        <v>Manawatu District</v>
      </c>
      <c r="BX33" s="107">
        <f t="shared" ca="1" si="24"/>
        <v>2.943340691685732E-4</v>
      </c>
      <c r="BY33" s="2">
        <f t="shared" ca="1" si="25"/>
        <v>0.14562230823548902</v>
      </c>
      <c r="BZ33" s="2">
        <f t="shared" ca="1" si="26"/>
        <v>-2.2927180966113916E-2</v>
      </c>
    </row>
    <row r="34" spans="1:78" x14ac:dyDescent="0.25">
      <c r="A34">
        <v>37</v>
      </c>
      <c r="B34" t="s">
        <v>29</v>
      </c>
      <c r="C34" s="80">
        <v>584</v>
      </c>
      <c r="D34" s="80">
        <f t="shared" ca="1" si="2"/>
        <v>584.5</v>
      </c>
      <c r="E34" s="80">
        <v>12867807615</v>
      </c>
      <c r="F34" s="80">
        <f t="shared" ca="1" si="3"/>
        <v>14572853331.5</v>
      </c>
      <c r="G34" s="80">
        <v>31907</v>
      </c>
      <c r="H34" s="80">
        <f t="shared" ca="1" si="4"/>
        <v>32164</v>
      </c>
      <c r="I34" s="82">
        <v>995.22403864734304</v>
      </c>
      <c r="J34" s="80">
        <v>10599193</v>
      </c>
      <c r="K34" s="80">
        <v>5222720</v>
      </c>
      <c r="L34" s="80">
        <v>8255869</v>
      </c>
      <c r="M34" s="80">
        <v>3967112</v>
      </c>
      <c r="N34" s="80">
        <v>8096665</v>
      </c>
      <c r="O34" s="80">
        <v>3958325</v>
      </c>
      <c r="P34" s="80">
        <v>7295138</v>
      </c>
      <c r="Q34" s="80">
        <v>3536227</v>
      </c>
      <c r="R34" s="80">
        <f t="shared" ca="1" si="5"/>
        <v>7352447.7399999993</v>
      </c>
      <c r="S34" s="80">
        <f t="shared" ca="1" si="6"/>
        <v>3508965</v>
      </c>
      <c r="T34" s="80">
        <f t="shared" ca="1" si="7"/>
        <v>7855878.4100000001</v>
      </c>
      <c r="U34" s="80">
        <f t="shared" ca="1" si="8"/>
        <v>3772699</v>
      </c>
      <c r="V34" s="80">
        <f t="shared" ca="1" si="9"/>
        <v>9146278.9199999981</v>
      </c>
      <c r="W34" s="80">
        <f t="shared" ca="1" si="10"/>
        <v>4420436</v>
      </c>
      <c r="X34" s="80">
        <f t="shared" ca="1" si="11"/>
        <v>3394684.3299999996</v>
      </c>
      <c r="Y34" s="80">
        <f t="shared" ca="1" si="12"/>
        <v>1731289</v>
      </c>
      <c r="Z34">
        <f t="shared" si="13"/>
        <v>34246865</v>
      </c>
      <c r="AA34">
        <f t="shared" si="14"/>
        <v>16684384</v>
      </c>
      <c r="AB34" s="3">
        <f t="shared" si="15"/>
        <v>17562481</v>
      </c>
      <c r="AC34" s="2">
        <f t="shared" si="0"/>
        <v>0.48717989223247149</v>
      </c>
      <c r="AD34" s="1">
        <f t="shared" ca="1" si="16"/>
        <v>4.0108823351469001E-8</v>
      </c>
      <c r="AE34" s="1">
        <v>88</v>
      </c>
      <c r="AH34" s="1">
        <f t="shared" si="1"/>
        <v>33</v>
      </c>
      <c r="AI34" s="1">
        <f t="shared" ca="1" si="17"/>
        <v>88</v>
      </c>
      <c r="AJ34" t="s">
        <v>198</v>
      </c>
      <c r="AK34">
        <v>8498</v>
      </c>
      <c r="AL34">
        <v>3487899050</v>
      </c>
      <c r="AM34">
        <v>370636.07000000012</v>
      </c>
      <c r="AN34">
        <v>3545422287.5</v>
      </c>
      <c r="AO34">
        <v>41821</v>
      </c>
      <c r="AP34">
        <v>8047</v>
      </c>
      <c r="AQ34">
        <v>3630321650</v>
      </c>
      <c r="AR34">
        <v>370561.88000000012</v>
      </c>
      <c r="AS34">
        <v>3907372148</v>
      </c>
      <c r="AU34" s="1">
        <f t="shared" si="18"/>
        <v>36</v>
      </c>
      <c r="AV34" s="1">
        <f t="shared" ca="1" si="19"/>
        <v>86</v>
      </c>
      <c r="AW34" t="s">
        <v>22</v>
      </c>
      <c r="AX34">
        <v>356.4</v>
      </c>
      <c r="AY34">
        <v>356.4</v>
      </c>
      <c r="AZ34">
        <v>356.4</v>
      </c>
      <c r="BA34">
        <v>363.1</v>
      </c>
      <c r="BC34" s="1">
        <f t="shared" si="20"/>
        <v>29</v>
      </c>
      <c r="BD34" t="s">
        <v>31</v>
      </c>
      <c r="BE34">
        <v>11598866.139999999</v>
      </c>
      <c r="BF34">
        <v>7527769</v>
      </c>
      <c r="BG34">
        <v>13010475.84</v>
      </c>
      <c r="BH34">
        <v>8720884</v>
      </c>
      <c r="BI34">
        <v>10562944.15</v>
      </c>
      <c r="BJ34">
        <v>6537789</v>
      </c>
      <c r="BK34">
        <v>6830281.2899999991</v>
      </c>
      <c r="BL34">
        <v>4371380</v>
      </c>
      <c r="BO34" s="1">
        <f t="shared" si="21"/>
        <v>37</v>
      </c>
      <c r="BP34" t="s">
        <v>25</v>
      </c>
      <c r="BQ34" s="106">
        <v>0.54</v>
      </c>
      <c r="BR34" s="106">
        <v>0.55000000000000004</v>
      </c>
      <c r="BS34" s="106">
        <v>0.56000000000000005</v>
      </c>
      <c r="BT34" s="106">
        <v>0.57999999999999996</v>
      </c>
      <c r="BU34" s="2">
        <f t="shared" ca="1" si="22"/>
        <v>0.51</v>
      </c>
      <c r="BV34" s="2"/>
      <c r="BW34" s="1" t="str">
        <f t="shared" si="23"/>
        <v>Palmerston North City</v>
      </c>
      <c r="BX34" s="107">
        <f t="shared" ca="1" si="24"/>
        <v>8.5616438356164379E-4</v>
      </c>
      <c r="BY34" s="2">
        <f t="shared" ca="1" si="25"/>
        <v>0.13250475663876329</v>
      </c>
      <c r="BZ34" s="2">
        <f t="shared" ca="1" si="26"/>
        <v>8.0546588522894657E-3</v>
      </c>
    </row>
    <row r="35" spans="1:78" x14ac:dyDescent="0.25">
      <c r="A35">
        <v>38</v>
      </c>
      <c r="B35" t="s">
        <v>30</v>
      </c>
      <c r="C35" s="80">
        <v>1224</v>
      </c>
      <c r="D35" s="80">
        <f t="shared" ca="1" si="2"/>
        <v>1224</v>
      </c>
      <c r="E35" s="80">
        <v>3545422288</v>
      </c>
      <c r="F35" s="80">
        <f t="shared" ca="1" si="3"/>
        <v>3907372148</v>
      </c>
      <c r="G35" s="80">
        <v>8498</v>
      </c>
      <c r="H35" s="80">
        <f t="shared" ca="1" si="4"/>
        <v>8047</v>
      </c>
      <c r="I35" s="82">
        <v>1005.5533227218464</v>
      </c>
      <c r="J35" s="80">
        <v>15094314</v>
      </c>
      <c r="K35" s="80">
        <v>10118148</v>
      </c>
      <c r="L35" s="80">
        <v>12854686</v>
      </c>
      <c r="M35" s="80">
        <v>8057968</v>
      </c>
      <c r="N35" s="80">
        <v>11414001</v>
      </c>
      <c r="O35" s="80">
        <v>6906731</v>
      </c>
      <c r="P35" s="80">
        <v>10758674</v>
      </c>
      <c r="Q35" s="80">
        <v>6307752</v>
      </c>
      <c r="R35" s="80">
        <f t="shared" ca="1" si="5"/>
        <v>10965218.24</v>
      </c>
      <c r="S35" s="80">
        <f t="shared" ca="1" si="6"/>
        <v>6414151</v>
      </c>
      <c r="T35" s="80">
        <f t="shared" ca="1" si="7"/>
        <v>12570524.73</v>
      </c>
      <c r="U35" s="80">
        <f t="shared" ca="1" si="8"/>
        <v>7641104</v>
      </c>
      <c r="V35" s="80">
        <f t="shared" ca="1" si="9"/>
        <v>12443460.589999996</v>
      </c>
      <c r="W35" s="80">
        <f t="shared" ca="1" si="10"/>
        <v>7352228</v>
      </c>
      <c r="X35" s="80">
        <f t="shared" ca="1" si="11"/>
        <v>6598289.6099999994</v>
      </c>
      <c r="Y35" s="80">
        <f t="shared" ca="1" si="12"/>
        <v>4533141</v>
      </c>
      <c r="Z35">
        <f t="shared" si="13"/>
        <v>50121675</v>
      </c>
      <c r="AA35">
        <f t="shared" si="14"/>
        <v>31390599</v>
      </c>
      <c r="AB35" s="3">
        <f t="shared" si="15"/>
        <v>18731076</v>
      </c>
      <c r="AC35" s="2">
        <f t="shared" si="0"/>
        <v>0.6262879083749695</v>
      </c>
      <c r="AD35" s="1">
        <f t="shared" ca="1" si="16"/>
        <v>3.1325401155518501E-7</v>
      </c>
      <c r="AE35" s="1">
        <v>88</v>
      </c>
      <c r="AH35" s="1">
        <f t="shared" si="1"/>
        <v>31</v>
      </c>
      <c r="AI35" s="1">
        <f t="shared" ca="1" si="17"/>
        <v>88</v>
      </c>
      <c r="AJ35" t="s">
        <v>199</v>
      </c>
      <c r="AK35">
        <v>13870</v>
      </c>
      <c r="AL35">
        <v>6927617150</v>
      </c>
      <c r="AM35">
        <v>216515.16729999997</v>
      </c>
      <c r="AN35">
        <v>6921097174</v>
      </c>
      <c r="AO35">
        <v>41487</v>
      </c>
      <c r="AP35">
        <v>13552</v>
      </c>
      <c r="AQ35">
        <v>7928963320</v>
      </c>
      <c r="AR35">
        <v>216385.33729999993</v>
      </c>
      <c r="AS35">
        <v>7928963320</v>
      </c>
      <c r="AU35" s="1">
        <f t="shared" si="18"/>
        <v>39</v>
      </c>
      <c r="AV35" s="1">
        <f t="shared" ca="1" si="19"/>
        <v>52</v>
      </c>
      <c r="AW35" t="s">
        <v>44</v>
      </c>
      <c r="AX35">
        <v>262.39999999999998</v>
      </c>
      <c r="AY35">
        <v>262.7</v>
      </c>
      <c r="AZ35">
        <v>264.40000000000003</v>
      </c>
      <c r="BA35">
        <v>268</v>
      </c>
      <c r="BC35" s="1">
        <f t="shared" si="20"/>
        <v>30</v>
      </c>
      <c r="BD35" t="s">
        <v>32</v>
      </c>
      <c r="BE35">
        <v>13134459.850000001</v>
      </c>
      <c r="BF35">
        <v>8339304</v>
      </c>
      <c r="BG35">
        <v>13030495.189999999</v>
      </c>
      <c r="BH35">
        <v>8308516</v>
      </c>
      <c r="BI35">
        <v>11969483.960000001</v>
      </c>
      <c r="BJ35">
        <v>7145352</v>
      </c>
      <c r="BK35">
        <v>5874193.3099999996</v>
      </c>
      <c r="BL35">
        <v>3659654</v>
      </c>
      <c r="BO35" s="1">
        <f t="shared" si="21"/>
        <v>38</v>
      </c>
      <c r="BP35" t="s">
        <v>26</v>
      </c>
      <c r="BQ35" s="106">
        <v>0.55000000000000004</v>
      </c>
      <c r="BR35" s="106">
        <v>0.56000000000000005</v>
      </c>
      <c r="BS35" s="106">
        <v>0.56999999999999995</v>
      </c>
      <c r="BT35" s="106">
        <v>0.56999999999999995</v>
      </c>
      <c r="BU35" s="2">
        <f t="shared" ca="1" si="22"/>
        <v>0.63</v>
      </c>
      <c r="BV35" s="2"/>
      <c r="BW35" s="1" t="str">
        <f t="shared" si="23"/>
        <v>Rangitikei District</v>
      </c>
      <c r="BX35" s="107">
        <f t="shared" ca="1" si="24"/>
        <v>0</v>
      </c>
      <c r="BY35" s="2">
        <f t="shared" ca="1" si="25"/>
        <v>0.10208935088637318</v>
      </c>
      <c r="BZ35" s="2">
        <f t="shared" ca="1" si="26"/>
        <v>-5.3071310896681573E-2</v>
      </c>
    </row>
    <row r="36" spans="1:78" x14ac:dyDescent="0.25">
      <c r="A36">
        <v>39</v>
      </c>
      <c r="B36" t="s">
        <v>31</v>
      </c>
      <c r="C36" s="80">
        <v>1337</v>
      </c>
      <c r="D36" s="80">
        <f t="shared" ca="1" si="2"/>
        <v>1336.9</v>
      </c>
      <c r="E36" s="80">
        <v>3687937831</v>
      </c>
      <c r="F36" s="80">
        <f t="shared" ca="1" si="3"/>
        <v>4059233079</v>
      </c>
      <c r="G36" s="80">
        <v>8965</v>
      </c>
      <c r="H36" s="80">
        <f t="shared" ca="1" si="4"/>
        <v>8981</v>
      </c>
      <c r="I36" s="82">
        <v>1058.4324503311259</v>
      </c>
      <c r="J36" s="80">
        <v>11071370</v>
      </c>
      <c r="K36" s="80">
        <v>7506466</v>
      </c>
      <c r="L36" s="80">
        <v>11134342</v>
      </c>
      <c r="M36" s="80">
        <v>7434164</v>
      </c>
      <c r="N36" s="80">
        <v>11028112</v>
      </c>
      <c r="O36" s="80">
        <v>7328974</v>
      </c>
      <c r="P36" s="80">
        <v>10013161</v>
      </c>
      <c r="Q36" s="80">
        <v>6445038</v>
      </c>
      <c r="R36" s="80">
        <f t="shared" ca="1" si="5"/>
        <v>11598866.139999999</v>
      </c>
      <c r="S36" s="80">
        <f t="shared" ca="1" si="6"/>
        <v>7527769</v>
      </c>
      <c r="T36" s="80">
        <f t="shared" ca="1" si="7"/>
        <v>13010475.84</v>
      </c>
      <c r="U36" s="80">
        <f t="shared" ca="1" si="8"/>
        <v>8720884</v>
      </c>
      <c r="V36" s="80">
        <f t="shared" ca="1" si="9"/>
        <v>10562944.15</v>
      </c>
      <c r="W36" s="80">
        <f t="shared" ca="1" si="10"/>
        <v>6537789</v>
      </c>
      <c r="X36" s="80">
        <f t="shared" ca="1" si="11"/>
        <v>6830281.2899999991</v>
      </c>
      <c r="Y36" s="80">
        <f t="shared" ca="1" si="12"/>
        <v>4371380</v>
      </c>
      <c r="Z36">
        <f t="shared" ref="Z36:Z67" si="27">SUM(J36,L36,N36,P36)</f>
        <v>43246985</v>
      </c>
      <c r="AA36">
        <f t="shared" ref="AA36:AA67" si="28">SUM(K36,M36,O36,Q36)</f>
        <v>28714642</v>
      </c>
      <c r="AB36" s="3">
        <f t="shared" si="15"/>
        <v>14532343</v>
      </c>
      <c r="AC36" s="2">
        <f t="shared" ref="AC36:AC67" si="29">AA36/Z36</f>
        <v>0.66396864428815094</v>
      </c>
      <c r="AD36" s="1">
        <f t="shared" ca="1" si="16"/>
        <v>3.293479270545726E-7</v>
      </c>
      <c r="AE36" s="1">
        <v>88</v>
      </c>
      <c r="AH36" s="1">
        <f t="shared" si="1"/>
        <v>29</v>
      </c>
      <c r="AI36" s="1">
        <f t="shared" ca="1" si="17"/>
        <v>88</v>
      </c>
      <c r="AJ36" t="s">
        <v>200</v>
      </c>
      <c r="AK36">
        <v>31907</v>
      </c>
      <c r="AL36">
        <v>12800432100</v>
      </c>
      <c r="AM36">
        <v>34064.430200000017</v>
      </c>
      <c r="AN36">
        <v>12867807615</v>
      </c>
      <c r="AO36">
        <v>42248</v>
      </c>
      <c r="AP36">
        <v>32164</v>
      </c>
      <c r="AQ36">
        <v>13619541600</v>
      </c>
      <c r="AR36">
        <v>32514.739400000009</v>
      </c>
      <c r="AS36">
        <v>14572853331.5</v>
      </c>
      <c r="AU36" s="1">
        <f t="shared" si="18"/>
        <v>41</v>
      </c>
      <c r="AV36" s="1">
        <f t="shared" ca="1" si="19"/>
        <v>87</v>
      </c>
      <c r="AW36" t="s">
        <v>24</v>
      </c>
      <c r="AX36">
        <v>1278.5</v>
      </c>
      <c r="AY36">
        <v>1282.8</v>
      </c>
      <c r="AZ36">
        <v>1284.3</v>
      </c>
      <c r="BA36">
        <v>1286.7</v>
      </c>
      <c r="BC36" s="1">
        <f t="shared" si="20"/>
        <v>31</v>
      </c>
      <c r="BD36" t="s">
        <v>33</v>
      </c>
      <c r="BE36">
        <v>10830067.459999999</v>
      </c>
      <c r="BF36">
        <v>6837063</v>
      </c>
      <c r="BG36">
        <v>13874066.34</v>
      </c>
      <c r="BH36">
        <v>9216368</v>
      </c>
      <c r="BI36">
        <v>14997936.779999999</v>
      </c>
      <c r="BJ36">
        <v>9848745</v>
      </c>
      <c r="BK36">
        <v>10568477.640000002</v>
      </c>
      <c r="BL36">
        <v>7109659</v>
      </c>
      <c r="BO36" s="1">
        <f t="shared" si="21"/>
        <v>39</v>
      </c>
      <c r="BP36" t="s">
        <v>70</v>
      </c>
      <c r="BQ36" s="106">
        <v>0.52</v>
      </c>
      <c r="BR36" s="106">
        <v>0.51</v>
      </c>
      <c r="BS36" s="106">
        <v>0.51</v>
      </c>
      <c r="BT36" s="106">
        <v>0.51</v>
      </c>
      <c r="BU36" s="2">
        <f t="shared" ca="1" si="22"/>
        <v>0.72</v>
      </c>
      <c r="BV36" s="2"/>
      <c r="BW36" s="1" t="str">
        <f t="shared" si="23"/>
        <v>Ruapehu District</v>
      </c>
      <c r="BX36" s="107">
        <f t="shared" ca="1" si="24"/>
        <v>-7.4794315631943937E-5</v>
      </c>
      <c r="BY36" s="2">
        <f t="shared" ca="1" si="25"/>
        <v>0.10067828282759357</v>
      </c>
      <c r="BZ36" s="2">
        <f t="shared" ca="1" si="26"/>
        <v>1.7847183491355272E-3</v>
      </c>
    </row>
    <row r="37" spans="1:78" x14ac:dyDescent="0.25">
      <c r="A37">
        <v>40</v>
      </c>
      <c r="B37" t="s">
        <v>32</v>
      </c>
      <c r="C37" s="80">
        <v>1956</v>
      </c>
      <c r="D37" s="80">
        <f t="shared" ca="1" si="2"/>
        <v>1956</v>
      </c>
      <c r="E37" s="80">
        <v>4826196795</v>
      </c>
      <c r="F37" s="80">
        <f t="shared" ca="1" si="3"/>
        <v>5229561203.3999996</v>
      </c>
      <c r="G37" s="80">
        <v>10733</v>
      </c>
      <c r="H37" s="80">
        <f t="shared" ca="1" si="4"/>
        <v>10580</v>
      </c>
      <c r="I37" s="82">
        <v>1009.4808649390767</v>
      </c>
      <c r="J37" s="80">
        <v>11017226</v>
      </c>
      <c r="K37" s="80">
        <v>6722970</v>
      </c>
      <c r="L37" s="80">
        <v>9712692</v>
      </c>
      <c r="M37" s="80">
        <v>5902469</v>
      </c>
      <c r="N37" s="80">
        <v>12735602</v>
      </c>
      <c r="O37" s="80">
        <v>7743407</v>
      </c>
      <c r="P37" s="80">
        <v>10362709</v>
      </c>
      <c r="Q37" s="80">
        <v>6175436</v>
      </c>
      <c r="R37" s="80">
        <f t="shared" ca="1" si="5"/>
        <v>13134459.850000001</v>
      </c>
      <c r="S37" s="80">
        <f t="shared" ca="1" si="6"/>
        <v>8339304</v>
      </c>
      <c r="T37" s="80">
        <f t="shared" ca="1" si="7"/>
        <v>13030495.189999999</v>
      </c>
      <c r="U37" s="80">
        <f t="shared" ca="1" si="8"/>
        <v>8308516</v>
      </c>
      <c r="V37" s="80">
        <f t="shared" ca="1" si="9"/>
        <v>11969483.960000001</v>
      </c>
      <c r="W37" s="80">
        <f t="shared" ca="1" si="10"/>
        <v>7145352</v>
      </c>
      <c r="X37" s="80">
        <f t="shared" ca="1" si="11"/>
        <v>5874193.3099999996</v>
      </c>
      <c r="Y37" s="80">
        <f t="shared" ca="1" si="12"/>
        <v>3659654</v>
      </c>
      <c r="Z37">
        <f t="shared" si="27"/>
        <v>43828229</v>
      </c>
      <c r="AA37">
        <f t="shared" si="28"/>
        <v>26544282</v>
      </c>
      <c r="AB37" s="3">
        <f t="shared" si="15"/>
        <v>17283947</v>
      </c>
      <c r="AC37" s="2">
        <f t="shared" si="29"/>
        <v>0.60564349976358844</v>
      </c>
      <c r="AD37" s="1">
        <f t="shared" ca="1" si="16"/>
        <v>3.7402755679163032E-7</v>
      </c>
      <c r="AE37" s="1">
        <v>88</v>
      </c>
      <c r="AH37" s="1">
        <f t="shared" si="1"/>
        <v>34</v>
      </c>
      <c r="AI37" s="1">
        <f t="shared" ca="1" si="17"/>
        <v>88</v>
      </c>
      <c r="AJ37" t="s">
        <v>201</v>
      </c>
      <c r="AK37">
        <v>10733</v>
      </c>
      <c r="AL37">
        <v>4559129150</v>
      </c>
      <c r="AM37">
        <v>392274.44099999993</v>
      </c>
      <c r="AN37">
        <v>4826196795</v>
      </c>
      <c r="AO37">
        <v>41883</v>
      </c>
      <c r="AP37">
        <v>10580</v>
      </c>
      <c r="AQ37">
        <v>4870585480</v>
      </c>
      <c r="AR37">
        <v>391405.26099999965</v>
      </c>
      <c r="AS37">
        <v>5229561203.3999996</v>
      </c>
      <c r="AU37" s="1">
        <f t="shared" si="18"/>
        <v>48</v>
      </c>
      <c r="AV37" s="1">
        <f t="shared" ca="1" si="19"/>
        <v>84</v>
      </c>
      <c r="AW37" t="s">
        <v>15</v>
      </c>
      <c r="AX37">
        <v>336.6</v>
      </c>
      <c r="AY37">
        <v>335.90000000000003</v>
      </c>
      <c r="AZ37">
        <v>335.90000000000003</v>
      </c>
      <c r="BA37">
        <v>335.90000000000003</v>
      </c>
      <c r="BC37" s="1">
        <f t="shared" si="20"/>
        <v>32</v>
      </c>
      <c r="BD37" t="s">
        <v>43</v>
      </c>
      <c r="BE37">
        <v>12673297.120000001</v>
      </c>
      <c r="BF37">
        <v>6038906</v>
      </c>
      <c r="BG37">
        <v>13851088.319999998</v>
      </c>
      <c r="BH37">
        <v>6778654</v>
      </c>
      <c r="BI37">
        <v>13621271.390000001</v>
      </c>
      <c r="BJ37">
        <v>6507933</v>
      </c>
      <c r="BK37">
        <v>5795032.6699999999</v>
      </c>
      <c r="BL37">
        <v>2903870</v>
      </c>
      <c r="BO37" s="1">
        <f t="shared" si="21"/>
        <v>40</v>
      </c>
      <c r="BP37" t="s">
        <v>263</v>
      </c>
      <c r="BQ37" s="106">
        <v>0.53</v>
      </c>
      <c r="BR37" s="106">
        <v>0.52</v>
      </c>
      <c r="BS37" s="106">
        <v>0.51</v>
      </c>
      <c r="BT37" s="106">
        <v>0.51</v>
      </c>
      <c r="BU37" s="2">
        <f t="shared" ca="1" si="22"/>
        <v>0.65</v>
      </c>
      <c r="BV37" s="2"/>
      <c r="BW37" s="1" t="str">
        <f t="shared" si="23"/>
        <v>Tararua District</v>
      </c>
      <c r="BX37" s="107">
        <f t="shared" ca="1" si="24"/>
        <v>0</v>
      </c>
      <c r="BY37" s="2">
        <f t="shared" ca="1" si="25"/>
        <v>8.3578110370030947E-2</v>
      </c>
      <c r="BZ37" s="2">
        <f t="shared" ca="1" si="26"/>
        <v>-1.4255101090095966E-2</v>
      </c>
    </row>
    <row r="38" spans="1:78" x14ac:dyDescent="0.25">
      <c r="A38">
        <v>41</v>
      </c>
      <c r="B38" t="s">
        <v>33</v>
      </c>
      <c r="C38" s="80">
        <v>841</v>
      </c>
      <c r="D38" s="80">
        <f t="shared" ca="1" si="2"/>
        <v>840.90000000000009</v>
      </c>
      <c r="E38" s="80">
        <v>5812378380</v>
      </c>
      <c r="F38" s="80">
        <f t="shared" ca="1" si="3"/>
        <v>6367706000</v>
      </c>
      <c r="G38" s="80">
        <v>20913</v>
      </c>
      <c r="H38" s="80">
        <f t="shared" ca="1" si="4"/>
        <v>20804</v>
      </c>
      <c r="I38" s="82">
        <v>1045.8056982061203</v>
      </c>
      <c r="J38" s="80">
        <v>11448168</v>
      </c>
      <c r="K38" s="80">
        <v>7444270</v>
      </c>
      <c r="L38" s="80">
        <v>12065397</v>
      </c>
      <c r="M38" s="80">
        <v>7798714</v>
      </c>
      <c r="N38" s="80">
        <v>11468734</v>
      </c>
      <c r="O38" s="80">
        <v>7234392</v>
      </c>
      <c r="P38" s="80">
        <v>10300759</v>
      </c>
      <c r="Q38" s="80">
        <v>6525466</v>
      </c>
      <c r="R38" s="80">
        <f t="shared" ca="1" si="5"/>
        <v>10830067.459999999</v>
      </c>
      <c r="S38" s="80">
        <f t="shared" ca="1" si="6"/>
        <v>6837063</v>
      </c>
      <c r="T38" s="80">
        <f t="shared" ca="1" si="7"/>
        <v>13874066.34</v>
      </c>
      <c r="U38" s="80">
        <f t="shared" ca="1" si="8"/>
        <v>9216368</v>
      </c>
      <c r="V38" s="80">
        <f t="shared" ca="1" si="9"/>
        <v>14997936.779999999</v>
      </c>
      <c r="W38" s="80">
        <f t="shared" ca="1" si="10"/>
        <v>9848745</v>
      </c>
      <c r="X38" s="80">
        <f t="shared" ca="1" si="11"/>
        <v>10568477.640000002</v>
      </c>
      <c r="Y38" s="80">
        <f t="shared" ca="1" si="12"/>
        <v>7109659</v>
      </c>
      <c r="Z38">
        <f t="shared" si="27"/>
        <v>45283058</v>
      </c>
      <c r="AA38">
        <f t="shared" si="28"/>
        <v>29002842</v>
      </c>
      <c r="AB38" s="3">
        <f t="shared" si="15"/>
        <v>16280216</v>
      </c>
      <c r="AC38" s="2">
        <f t="shared" si="29"/>
        <v>0.64047887401950632</v>
      </c>
      <c r="AD38" s="1">
        <f t="shared" ca="1" si="16"/>
        <v>1.3205697624858937E-7</v>
      </c>
      <c r="AE38" s="1">
        <v>88</v>
      </c>
      <c r="AH38" s="1">
        <f t="shared" si="1"/>
        <v>30</v>
      </c>
      <c r="AI38" s="1">
        <f t="shared" ca="1" si="17"/>
        <v>88</v>
      </c>
      <c r="AJ38" t="s">
        <v>202</v>
      </c>
      <c r="AK38">
        <v>17608</v>
      </c>
      <c r="AL38">
        <v>5603931100</v>
      </c>
      <c r="AM38">
        <v>78773.370000000024</v>
      </c>
      <c r="AN38">
        <v>5391277432</v>
      </c>
      <c r="AO38">
        <v>41487</v>
      </c>
      <c r="AP38">
        <v>17483</v>
      </c>
      <c r="AQ38">
        <v>6327531300</v>
      </c>
      <c r="AR38">
        <v>78824.739899999986</v>
      </c>
      <c r="AS38">
        <v>6327531300</v>
      </c>
      <c r="AU38" s="1">
        <f t="shared" si="18"/>
        <v>62</v>
      </c>
      <c r="AV38" s="1">
        <f t="shared" ca="1" si="19"/>
        <v>83</v>
      </c>
      <c r="AW38" t="s">
        <v>7</v>
      </c>
      <c r="AX38">
        <v>803.9</v>
      </c>
      <c r="AY38">
        <v>806.3</v>
      </c>
      <c r="AZ38">
        <v>806.3</v>
      </c>
      <c r="BA38">
        <v>806.3</v>
      </c>
      <c r="BC38" s="1">
        <f t="shared" si="20"/>
        <v>33</v>
      </c>
      <c r="BD38" t="s">
        <v>44</v>
      </c>
      <c r="BE38">
        <v>8631577.7400000021</v>
      </c>
      <c r="BF38">
        <v>3969248</v>
      </c>
      <c r="BG38">
        <v>12621745.98</v>
      </c>
      <c r="BH38">
        <v>6031960</v>
      </c>
      <c r="BI38">
        <v>10427720.599999998</v>
      </c>
      <c r="BJ38">
        <v>4835101</v>
      </c>
      <c r="BK38">
        <v>3903777.4899999998</v>
      </c>
      <c r="BL38">
        <v>1857328</v>
      </c>
      <c r="BO38" s="1">
        <f t="shared" si="21"/>
        <v>41</v>
      </c>
      <c r="BP38" t="s">
        <v>27</v>
      </c>
      <c r="BQ38" s="106">
        <v>0.5</v>
      </c>
      <c r="BR38" s="106">
        <v>0.51</v>
      </c>
      <c r="BS38" s="106">
        <v>0.52</v>
      </c>
      <c r="BT38" s="106">
        <v>0.59</v>
      </c>
      <c r="BU38" s="2">
        <f t="shared" ca="1" si="22"/>
        <v>0.6</v>
      </c>
      <c r="BV38" s="2"/>
      <c r="BW38" s="1" t="str">
        <f t="shared" si="23"/>
        <v>Wanganui District</v>
      </c>
      <c r="BX38" s="107">
        <f t="shared" ca="1" si="24"/>
        <v>-1.1890606420916652E-4</v>
      </c>
      <c r="BY38" s="2">
        <f t="shared" ca="1" si="25"/>
        <v>9.5542234812317911E-2</v>
      </c>
      <c r="BZ38" s="2">
        <f t="shared" ca="1" si="26"/>
        <v>-5.2120690479605988E-3</v>
      </c>
    </row>
    <row r="39" spans="1:78" x14ac:dyDescent="0.25">
      <c r="A39">
        <v>42</v>
      </c>
      <c r="B39" t="s">
        <v>34</v>
      </c>
      <c r="C39" s="80">
        <v>444</v>
      </c>
      <c r="D39" s="80">
        <f t="shared" ca="1" si="2"/>
        <v>443.29999999999995</v>
      </c>
      <c r="E39" s="80">
        <v>2021305729</v>
      </c>
      <c r="F39" s="80">
        <f t="shared" ca="1" si="3"/>
        <v>2290448775</v>
      </c>
      <c r="G39" s="80">
        <v>4540</v>
      </c>
      <c r="H39" s="80">
        <f t="shared" ca="1" si="4"/>
        <v>4592</v>
      </c>
      <c r="I39" s="82">
        <v>970.88393608074011</v>
      </c>
      <c r="J39" s="80">
        <v>2719082</v>
      </c>
      <c r="K39" s="80">
        <v>1439267</v>
      </c>
      <c r="L39" s="80">
        <v>2454185</v>
      </c>
      <c r="M39" s="80">
        <v>1296614</v>
      </c>
      <c r="N39" s="80">
        <v>3062473</v>
      </c>
      <c r="O39" s="80">
        <v>1626881</v>
      </c>
      <c r="P39" s="80">
        <v>2725942</v>
      </c>
      <c r="Q39" s="80">
        <v>1478020</v>
      </c>
      <c r="R39" s="80">
        <f t="shared" ca="1" si="5"/>
        <v>3181825.28</v>
      </c>
      <c r="S39" s="80">
        <f t="shared" ca="1" si="6"/>
        <v>1735978</v>
      </c>
      <c r="T39" s="80">
        <f t="shared" ca="1" si="7"/>
        <v>2726423.3300000005</v>
      </c>
      <c r="U39" s="80">
        <f t="shared" ca="1" si="8"/>
        <v>1474435</v>
      </c>
      <c r="V39" s="80">
        <f t="shared" ca="1" si="9"/>
        <v>3000292.11</v>
      </c>
      <c r="W39" s="80">
        <f t="shared" ca="1" si="10"/>
        <v>1611168</v>
      </c>
      <c r="X39" s="80">
        <f t="shared" ca="1" si="11"/>
        <v>1262216.6900000002</v>
      </c>
      <c r="Y39" s="80">
        <f t="shared" ca="1" si="12"/>
        <v>681597</v>
      </c>
      <c r="Z39">
        <f t="shared" si="27"/>
        <v>10961682</v>
      </c>
      <c r="AA39">
        <f t="shared" si="28"/>
        <v>5840782</v>
      </c>
      <c r="AB39" s="3">
        <f t="shared" si="15"/>
        <v>5120900</v>
      </c>
      <c r="AC39" s="2">
        <f t="shared" si="29"/>
        <v>0.53283629282440415</v>
      </c>
      <c r="AD39" s="1">
        <f t="shared" ca="1" si="16"/>
        <v>1.9354285711977992E-7</v>
      </c>
      <c r="AE39" s="1">
        <v>89</v>
      </c>
      <c r="AH39" s="1">
        <f t="shared" si="1"/>
        <v>42</v>
      </c>
      <c r="AI39" s="1">
        <f t="shared" ca="1" si="17"/>
        <v>89</v>
      </c>
      <c r="AJ39" t="s">
        <v>203</v>
      </c>
      <c r="AK39">
        <v>24357</v>
      </c>
      <c r="AL39">
        <v>10431920750</v>
      </c>
      <c r="AM39">
        <v>33975.350000000028</v>
      </c>
      <c r="AN39">
        <v>10661183462</v>
      </c>
      <c r="AO39">
        <v>41852</v>
      </c>
      <c r="AP39">
        <v>24623</v>
      </c>
      <c r="AQ39">
        <v>10861576350</v>
      </c>
      <c r="AR39">
        <v>33987.998000000029</v>
      </c>
      <c r="AS39">
        <v>12812617480</v>
      </c>
      <c r="AU39" s="1">
        <f t="shared" si="18"/>
        <v>4</v>
      </c>
      <c r="AV39" s="1">
        <f t="shared" ca="1" si="19"/>
        <v>88</v>
      </c>
      <c r="AW39" t="s">
        <v>29</v>
      </c>
      <c r="AX39">
        <v>584.5</v>
      </c>
      <c r="AY39">
        <v>555.80000000000007</v>
      </c>
      <c r="AZ39">
        <v>556</v>
      </c>
      <c r="BA39">
        <v>566.6</v>
      </c>
      <c r="BC39" s="1">
        <f t="shared" si="20"/>
        <v>66</v>
      </c>
      <c r="BD39" t="s">
        <v>0</v>
      </c>
      <c r="BE39">
        <v>25318137.870000001</v>
      </c>
      <c r="BF39">
        <v>14320618</v>
      </c>
      <c r="BG39">
        <v>26841175.98</v>
      </c>
      <c r="BH39">
        <v>15104726</v>
      </c>
      <c r="BI39">
        <v>34473999.460000001</v>
      </c>
      <c r="BJ39">
        <v>21830083</v>
      </c>
      <c r="BK39">
        <v>13502320.689999999</v>
      </c>
      <c r="BL39">
        <v>8054567</v>
      </c>
      <c r="BO39" s="1">
        <f t="shared" si="21"/>
        <v>42</v>
      </c>
      <c r="BP39" t="s">
        <v>28</v>
      </c>
      <c r="BQ39" s="106">
        <v>0.54</v>
      </c>
      <c r="BR39" s="106">
        <v>0.53</v>
      </c>
      <c r="BS39" s="106">
        <v>0.53</v>
      </c>
      <c r="BT39" s="106">
        <v>0.53</v>
      </c>
      <c r="BU39" s="2">
        <f t="shared" ca="1" si="22"/>
        <v>0.53</v>
      </c>
      <c r="BV39" s="2"/>
      <c r="BW39" s="1" t="str">
        <f t="shared" si="23"/>
        <v>Carterton District</v>
      </c>
      <c r="BX39" s="107">
        <f t="shared" ca="1" si="24"/>
        <v>-1.5765765765766791E-3</v>
      </c>
      <c r="BY39" s="2">
        <f t="shared" ca="1" si="25"/>
        <v>0.13315306147831138</v>
      </c>
      <c r="BZ39" s="2">
        <f t="shared" ca="1" si="26"/>
        <v>1.145374449339207E-2</v>
      </c>
    </row>
    <row r="40" spans="1:78" x14ac:dyDescent="0.25">
      <c r="A40">
        <v>43</v>
      </c>
      <c r="B40" t="s">
        <v>35</v>
      </c>
      <c r="C40" s="80">
        <v>397</v>
      </c>
      <c r="D40" s="80">
        <f t="shared" ca="1" si="2"/>
        <v>397</v>
      </c>
      <c r="E40" s="80">
        <v>10661183462</v>
      </c>
      <c r="F40" s="80">
        <f t="shared" ca="1" si="3"/>
        <v>12812617480</v>
      </c>
      <c r="G40" s="80">
        <v>24357</v>
      </c>
      <c r="H40" s="80">
        <f t="shared" ca="1" si="4"/>
        <v>24623</v>
      </c>
      <c r="I40" s="82">
        <v>959.55491178959699</v>
      </c>
      <c r="J40" s="80">
        <v>6059560</v>
      </c>
      <c r="K40" s="80">
        <v>2792071.66</v>
      </c>
      <c r="L40" s="80">
        <v>5040088</v>
      </c>
      <c r="M40" s="80">
        <v>2318702.84</v>
      </c>
      <c r="N40" s="80">
        <v>7079477</v>
      </c>
      <c r="O40" s="80">
        <v>3294887.09</v>
      </c>
      <c r="P40" s="80">
        <v>5122661</v>
      </c>
      <c r="Q40" s="80">
        <v>2277481</v>
      </c>
      <c r="R40" s="80">
        <f t="shared" ca="1" si="5"/>
        <v>5308108.0600000005</v>
      </c>
      <c r="S40" s="80">
        <f t="shared" ca="1" si="6"/>
        <v>2376761</v>
      </c>
      <c r="T40" s="80">
        <f t="shared" ca="1" si="7"/>
        <v>13885502.9</v>
      </c>
      <c r="U40" s="80">
        <f t="shared" ca="1" si="8"/>
        <v>9106774</v>
      </c>
      <c r="V40" s="80">
        <f t="shared" ca="1" si="9"/>
        <v>7137923.3200000003</v>
      </c>
      <c r="W40" s="80">
        <f t="shared" ca="1" si="10"/>
        <v>3195838</v>
      </c>
      <c r="X40" s="80">
        <f t="shared" ca="1" si="11"/>
        <v>2016331.9400000002</v>
      </c>
      <c r="Y40" s="80">
        <f t="shared" ca="1" si="12"/>
        <v>947676</v>
      </c>
      <c r="Z40">
        <f t="shared" si="27"/>
        <v>23301786</v>
      </c>
      <c r="AA40">
        <f t="shared" si="28"/>
        <v>10683142.59</v>
      </c>
      <c r="AB40" s="3">
        <f t="shared" si="15"/>
        <v>12618643.41</v>
      </c>
      <c r="AC40" s="2">
        <f t="shared" si="29"/>
        <v>0.45846883110161596</v>
      </c>
      <c r="AD40" s="1">
        <f t="shared" ca="1" si="16"/>
        <v>3.0985081746153869E-8</v>
      </c>
      <c r="AE40" s="1">
        <v>89</v>
      </c>
      <c r="AH40" s="1">
        <f t="shared" si="1"/>
        <v>36</v>
      </c>
      <c r="AI40" s="1">
        <f t="shared" ca="1" si="17"/>
        <v>89</v>
      </c>
      <c r="AJ40" t="s">
        <v>204</v>
      </c>
      <c r="AK40">
        <v>18147</v>
      </c>
      <c r="AL40">
        <v>8008552700</v>
      </c>
      <c r="AM40">
        <v>14126.089700000004</v>
      </c>
      <c r="AN40">
        <v>8004410614</v>
      </c>
      <c r="AO40">
        <v>41518</v>
      </c>
      <c r="AP40">
        <v>18487</v>
      </c>
      <c r="AQ40">
        <v>8265232200</v>
      </c>
      <c r="AR40">
        <v>14098.091500000011</v>
      </c>
      <c r="AS40">
        <v>9590251808.5</v>
      </c>
      <c r="AU40" s="1">
        <f t="shared" si="18"/>
        <v>24</v>
      </c>
      <c r="AV40" s="1">
        <f t="shared" ca="1" si="19"/>
        <v>89</v>
      </c>
      <c r="AW40" t="s">
        <v>38</v>
      </c>
      <c r="AX40">
        <v>245.3</v>
      </c>
      <c r="AY40">
        <v>247</v>
      </c>
      <c r="AZ40">
        <v>247</v>
      </c>
      <c r="BA40">
        <v>255.4</v>
      </c>
      <c r="BC40" s="1">
        <f t="shared" si="20"/>
        <v>69</v>
      </c>
      <c r="BD40" t="s">
        <v>1</v>
      </c>
      <c r="BE40">
        <v>11376910.230000002</v>
      </c>
      <c r="BF40">
        <v>6782992</v>
      </c>
      <c r="BG40">
        <v>10547081.879999999</v>
      </c>
      <c r="BH40">
        <v>6265839</v>
      </c>
      <c r="BI40">
        <v>19739082.66</v>
      </c>
      <c r="BJ40">
        <v>11813509</v>
      </c>
      <c r="BK40">
        <v>8540613.1099999994</v>
      </c>
      <c r="BL40">
        <v>5209774</v>
      </c>
      <c r="BO40" s="1">
        <f t="shared" si="21"/>
        <v>45</v>
      </c>
      <c r="BP40" t="s">
        <v>29</v>
      </c>
      <c r="BQ40" s="106">
        <v>0.51</v>
      </c>
      <c r="BR40" s="106">
        <v>0.51</v>
      </c>
      <c r="BS40" s="106">
        <v>0.51</v>
      </c>
      <c r="BT40" s="106">
        <v>0.51</v>
      </c>
      <c r="BU40" s="2">
        <f t="shared" ca="1" si="22"/>
        <v>0.51</v>
      </c>
      <c r="BV40" s="2"/>
      <c r="BW40" s="1" t="str">
        <f t="shared" si="23"/>
        <v>Kapiti Coast District</v>
      </c>
      <c r="BX40" s="107">
        <f t="shared" ca="1" si="24"/>
        <v>0</v>
      </c>
      <c r="BY40" s="2">
        <f t="shared" ca="1" si="25"/>
        <v>0.20180067491272669</v>
      </c>
      <c r="BZ40" s="2">
        <f t="shared" ca="1" si="26"/>
        <v>1.0920885166481915E-2</v>
      </c>
    </row>
    <row r="41" spans="1:78" x14ac:dyDescent="0.25">
      <c r="A41">
        <v>44</v>
      </c>
      <c r="B41" t="s">
        <v>36</v>
      </c>
      <c r="C41" s="80">
        <v>481</v>
      </c>
      <c r="D41" s="80">
        <f t="shared" ca="1" si="2"/>
        <v>481</v>
      </c>
      <c r="E41" s="80">
        <v>17450342389</v>
      </c>
      <c r="F41" s="80">
        <f t="shared" ca="1" si="3"/>
        <v>20746501045</v>
      </c>
      <c r="G41" s="80">
        <v>39384</v>
      </c>
      <c r="H41" s="80">
        <f t="shared" ca="1" si="4"/>
        <v>39670</v>
      </c>
      <c r="I41" s="82">
        <v>1006.538717120443</v>
      </c>
      <c r="J41" s="80">
        <v>14078286</v>
      </c>
      <c r="K41" s="80">
        <v>6835395</v>
      </c>
      <c r="L41" s="80">
        <v>14401556</v>
      </c>
      <c r="M41" s="80">
        <v>6962323</v>
      </c>
      <c r="N41" s="80">
        <v>15469179</v>
      </c>
      <c r="O41" s="80">
        <v>7555368</v>
      </c>
      <c r="P41" s="80">
        <v>12782093</v>
      </c>
      <c r="Q41" s="80">
        <v>6262482</v>
      </c>
      <c r="R41" s="80">
        <f t="shared" ca="1" si="5"/>
        <v>13068603.969999999</v>
      </c>
      <c r="S41" s="80">
        <f t="shared" ca="1" si="6"/>
        <v>6402303</v>
      </c>
      <c r="T41" s="80">
        <f t="shared" ca="1" si="7"/>
        <v>15452363.310000001</v>
      </c>
      <c r="U41" s="80">
        <f t="shared" ca="1" si="8"/>
        <v>7568373</v>
      </c>
      <c r="V41" s="80">
        <f t="shared" ca="1" si="9"/>
        <v>14104899.66</v>
      </c>
      <c r="W41" s="80">
        <f t="shared" ca="1" si="10"/>
        <v>6920772</v>
      </c>
      <c r="X41" s="80">
        <f t="shared" ca="1" si="11"/>
        <v>6203452.9500000011</v>
      </c>
      <c r="Y41" s="80">
        <f t="shared" ca="1" si="12"/>
        <v>3163761</v>
      </c>
      <c r="Z41">
        <f t="shared" si="27"/>
        <v>56731114</v>
      </c>
      <c r="AA41">
        <f t="shared" si="28"/>
        <v>27615568</v>
      </c>
      <c r="AB41" s="3">
        <f t="shared" si="15"/>
        <v>29115546</v>
      </c>
      <c r="AC41" s="2">
        <f t="shared" si="29"/>
        <v>0.48677993525739682</v>
      </c>
      <c r="AD41" s="1">
        <f t="shared" ca="1" si="16"/>
        <v>2.3184632384838849E-8</v>
      </c>
      <c r="AE41" s="1">
        <v>89</v>
      </c>
      <c r="AH41" s="1">
        <f t="shared" si="1"/>
        <v>39</v>
      </c>
      <c r="AI41" s="1">
        <f t="shared" ca="1" si="17"/>
        <v>89</v>
      </c>
      <c r="AJ41" t="s">
        <v>205</v>
      </c>
      <c r="AK41">
        <v>16451</v>
      </c>
      <c r="AL41">
        <v>6753747300</v>
      </c>
      <c r="AM41">
        <v>36887.850000000013</v>
      </c>
      <c r="AN41">
        <v>6808801456</v>
      </c>
      <c r="AO41">
        <v>41487</v>
      </c>
      <c r="AP41">
        <v>16619</v>
      </c>
      <c r="AQ41">
        <v>6910130300</v>
      </c>
      <c r="AR41">
        <v>38786.219999999994</v>
      </c>
      <c r="AS41">
        <v>7853071885</v>
      </c>
      <c r="AU41" s="1">
        <f t="shared" si="18"/>
        <v>20</v>
      </c>
      <c r="AV41" s="1">
        <f t="shared" ca="1" si="19"/>
        <v>93</v>
      </c>
      <c r="AW41" t="s">
        <v>60</v>
      </c>
      <c r="AX41">
        <v>818.1</v>
      </c>
      <c r="AY41">
        <v>823.2</v>
      </c>
      <c r="AZ41">
        <v>826.5</v>
      </c>
      <c r="BA41">
        <v>837.40000000000009</v>
      </c>
      <c r="BC41" s="1">
        <f t="shared" si="20"/>
        <v>68</v>
      </c>
      <c r="BD41" t="s">
        <v>66</v>
      </c>
      <c r="BE41">
        <v>1209861.1700000002</v>
      </c>
      <c r="BF41">
        <v>618387</v>
      </c>
      <c r="BG41">
        <v>1367092.84</v>
      </c>
      <c r="BH41">
        <v>696831</v>
      </c>
      <c r="BI41">
        <v>1507490.62</v>
      </c>
      <c r="BJ41">
        <v>781239</v>
      </c>
      <c r="BK41">
        <v>1069061.2</v>
      </c>
      <c r="BL41">
        <v>558868</v>
      </c>
      <c r="BO41" s="1">
        <f t="shared" si="21"/>
        <v>44</v>
      </c>
      <c r="BP41" t="s">
        <v>30</v>
      </c>
      <c r="BQ41" s="106">
        <v>0.62</v>
      </c>
      <c r="BR41" s="106">
        <v>0.63</v>
      </c>
      <c r="BS41" s="106">
        <v>0.63</v>
      </c>
      <c r="BT41" s="106">
        <v>0.63</v>
      </c>
      <c r="BU41" s="2">
        <f t="shared" ca="1" si="22"/>
        <v>0.51</v>
      </c>
      <c r="BV41" s="2"/>
      <c r="BW41" s="1" t="str">
        <f t="shared" si="23"/>
        <v>Lower Hutt City</v>
      </c>
      <c r="BX41" s="107">
        <f t="shared" ca="1" si="24"/>
        <v>0</v>
      </c>
      <c r="BY41" s="2">
        <f t="shared" ca="1" si="25"/>
        <v>0.1888879073271231</v>
      </c>
      <c r="BZ41" s="2">
        <f t="shared" ca="1" si="26"/>
        <v>7.2618322161283767E-3</v>
      </c>
    </row>
    <row r="42" spans="1:78" x14ac:dyDescent="0.25">
      <c r="A42">
        <v>45</v>
      </c>
      <c r="B42" t="s">
        <v>37</v>
      </c>
      <c r="C42" s="80">
        <v>803</v>
      </c>
      <c r="D42" s="80">
        <f t="shared" ca="1" si="2"/>
        <v>803.4</v>
      </c>
      <c r="E42" s="80">
        <v>4547331636</v>
      </c>
      <c r="F42" s="80">
        <f t="shared" ca="1" si="3"/>
        <v>4979341105</v>
      </c>
      <c r="G42" s="80">
        <v>12227</v>
      </c>
      <c r="H42" s="80">
        <f t="shared" ca="1" si="4"/>
        <v>12240</v>
      </c>
      <c r="I42" s="82">
        <v>1012.7568497683653</v>
      </c>
      <c r="J42" s="80">
        <v>6175141</v>
      </c>
      <c r="K42" s="80">
        <v>3453903</v>
      </c>
      <c r="L42" s="80">
        <v>5747414</v>
      </c>
      <c r="M42" s="80">
        <v>3240342</v>
      </c>
      <c r="N42" s="80">
        <v>8066308</v>
      </c>
      <c r="O42" s="80">
        <v>4596604</v>
      </c>
      <c r="P42" s="80">
        <v>6394030</v>
      </c>
      <c r="Q42" s="80">
        <v>3508856</v>
      </c>
      <c r="R42" s="80">
        <f t="shared" ca="1" si="5"/>
        <v>7410900.2400000012</v>
      </c>
      <c r="S42" s="80">
        <f t="shared" ca="1" si="6"/>
        <v>4084611</v>
      </c>
      <c r="T42" s="80">
        <f t="shared" ca="1" si="7"/>
        <v>6618758.3799999999</v>
      </c>
      <c r="U42" s="80">
        <f t="shared" ca="1" si="8"/>
        <v>3628252</v>
      </c>
      <c r="V42" s="80">
        <f t="shared" ca="1" si="9"/>
        <v>6780352.5900000008</v>
      </c>
      <c r="W42" s="80">
        <f t="shared" ca="1" si="10"/>
        <v>3705120</v>
      </c>
      <c r="X42" s="80">
        <f t="shared" ca="1" si="11"/>
        <v>2863705.26</v>
      </c>
      <c r="Y42" s="80">
        <f t="shared" ca="1" si="12"/>
        <v>1630192</v>
      </c>
      <c r="Z42">
        <f t="shared" si="27"/>
        <v>26382893</v>
      </c>
      <c r="AA42">
        <f t="shared" si="28"/>
        <v>14799705</v>
      </c>
      <c r="AB42" s="3">
        <f t="shared" si="15"/>
        <v>11583188</v>
      </c>
      <c r="AC42" s="2">
        <f t="shared" si="29"/>
        <v>0.56095838314623037</v>
      </c>
      <c r="AD42" s="1">
        <f t="shared" ca="1" si="16"/>
        <v>1.6134664869479753E-7</v>
      </c>
      <c r="AE42" s="1">
        <v>89</v>
      </c>
      <c r="AH42" s="1">
        <f t="shared" si="1"/>
        <v>41</v>
      </c>
      <c r="AI42" s="1">
        <f t="shared" ca="1" si="17"/>
        <v>89</v>
      </c>
      <c r="AJ42" t="s">
        <v>244</v>
      </c>
      <c r="AK42">
        <v>39384</v>
      </c>
      <c r="AL42">
        <v>17302435150</v>
      </c>
      <c r="AM42">
        <v>27265.233100000005</v>
      </c>
      <c r="AN42">
        <v>17450342389</v>
      </c>
      <c r="AO42">
        <v>41518</v>
      </c>
      <c r="AP42">
        <v>39670</v>
      </c>
      <c r="AQ42">
        <v>17593063650</v>
      </c>
      <c r="AR42">
        <v>27292.873100000008</v>
      </c>
      <c r="AS42">
        <v>20746501045</v>
      </c>
      <c r="AU42" s="1">
        <f t="shared" si="18"/>
        <v>29</v>
      </c>
      <c r="AV42" s="1">
        <f t="shared" ca="1" si="19"/>
        <v>88</v>
      </c>
      <c r="AW42" t="s">
        <v>30</v>
      </c>
      <c r="AX42">
        <v>1224</v>
      </c>
      <c r="AY42">
        <v>1225</v>
      </c>
      <c r="AZ42">
        <v>1225.6999999999998</v>
      </c>
      <c r="BA42">
        <v>1225.6999999999998</v>
      </c>
      <c r="BC42" s="1">
        <f t="shared" si="20"/>
        <v>70</v>
      </c>
      <c r="BD42" t="s">
        <v>2</v>
      </c>
      <c r="BE42">
        <v>35876589.949999996</v>
      </c>
      <c r="BF42">
        <v>18219392</v>
      </c>
      <c r="BG42">
        <v>20816266.369999994</v>
      </c>
      <c r="BH42">
        <v>10919473</v>
      </c>
      <c r="BI42">
        <v>28989922.339999992</v>
      </c>
      <c r="BJ42">
        <v>15419121</v>
      </c>
      <c r="BK42">
        <v>15276939.779999999</v>
      </c>
      <c r="BL42">
        <v>8350388</v>
      </c>
      <c r="BO42" s="1">
        <f t="shared" si="21"/>
        <v>46</v>
      </c>
      <c r="BP42" t="s">
        <v>31</v>
      </c>
      <c r="BQ42" s="106">
        <v>0.64</v>
      </c>
      <c r="BR42" s="106">
        <v>0.65</v>
      </c>
      <c r="BS42" s="106">
        <v>0.66</v>
      </c>
      <c r="BT42" s="106">
        <v>0.72</v>
      </c>
      <c r="BU42" s="2">
        <f t="shared" ca="1" si="22"/>
        <v>0.56999999999999995</v>
      </c>
      <c r="BV42" s="2"/>
      <c r="BW42" s="1" t="str">
        <f t="shared" si="23"/>
        <v>Masterton District</v>
      </c>
      <c r="BX42" s="107">
        <f t="shared" ca="1" si="24"/>
        <v>4.9813200498129173E-4</v>
      </c>
      <c r="BY42" s="2">
        <f t="shared" ca="1" si="25"/>
        <v>9.5002850810329595E-2</v>
      </c>
      <c r="BZ42" s="2">
        <f t="shared" ca="1" si="26"/>
        <v>1.0632207409830702E-3</v>
      </c>
    </row>
    <row r="43" spans="1:78" x14ac:dyDescent="0.25">
      <c r="A43">
        <v>46</v>
      </c>
      <c r="B43" t="s">
        <v>38</v>
      </c>
      <c r="C43" s="80">
        <v>246</v>
      </c>
      <c r="D43" s="80">
        <f t="shared" ca="1" si="2"/>
        <v>245.3</v>
      </c>
      <c r="E43" s="80">
        <v>8004410614</v>
      </c>
      <c r="F43" s="80">
        <f t="shared" ca="1" si="3"/>
        <v>9590251808.5</v>
      </c>
      <c r="G43" s="80">
        <v>18147</v>
      </c>
      <c r="H43" s="80">
        <f t="shared" ca="1" si="4"/>
        <v>18487</v>
      </c>
      <c r="I43" s="82">
        <v>1040.4211604095563</v>
      </c>
      <c r="J43" s="80">
        <v>3741388</v>
      </c>
      <c r="K43" s="80">
        <v>1708025</v>
      </c>
      <c r="L43" s="80">
        <v>3992459</v>
      </c>
      <c r="M43" s="80">
        <v>1842950</v>
      </c>
      <c r="N43" s="80">
        <v>3434364</v>
      </c>
      <c r="O43" s="80">
        <v>1624201</v>
      </c>
      <c r="P43" s="80">
        <v>4698305</v>
      </c>
      <c r="Q43" s="80">
        <v>2243465</v>
      </c>
      <c r="R43" s="80">
        <f t="shared" ca="1" si="5"/>
        <v>5364591.4799999995</v>
      </c>
      <c r="S43" s="80">
        <f t="shared" ca="1" si="6"/>
        <v>2539406</v>
      </c>
      <c r="T43" s="80">
        <f t="shared" ca="1" si="7"/>
        <v>4316257.3999999994</v>
      </c>
      <c r="U43" s="80">
        <f t="shared" ca="1" si="8"/>
        <v>1932304</v>
      </c>
      <c r="V43" s="80">
        <f t="shared" ca="1" si="9"/>
        <v>12188779.470000001</v>
      </c>
      <c r="W43" s="80">
        <f t="shared" ca="1" si="10"/>
        <v>6044700</v>
      </c>
      <c r="X43" s="80">
        <f t="shared" ca="1" si="11"/>
        <v>3094633.33</v>
      </c>
      <c r="Y43" s="80">
        <f t="shared" ca="1" si="12"/>
        <v>1540178</v>
      </c>
      <c r="Z43">
        <f t="shared" si="27"/>
        <v>15866516</v>
      </c>
      <c r="AA43">
        <f t="shared" si="28"/>
        <v>7418641</v>
      </c>
      <c r="AB43" s="3">
        <f t="shared" si="15"/>
        <v>8447875</v>
      </c>
      <c r="AC43" s="2">
        <f t="shared" si="29"/>
        <v>0.46756584747401381</v>
      </c>
      <c r="AD43" s="1">
        <f t="shared" ca="1" si="16"/>
        <v>2.5578056228157278E-8</v>
      </c>
      <c r="AE43" s="1">
        <v>89</v>
      </c>
      <c r="AH43" s="1">
        <f t="shared" si="1"/>
        <v>37</v>
      </c>
      <c r="AI43" s="1">
        <f t="shared" ca="1" si="17"/>
        <v>89</v>
      </c>
      <c r="AJ43" t="s">
        <v>206</v>
      </c>
      <c r="AK43">
        <v>76166</v>
      </c>
      <c r="AL43">
        <v>48904812333</v>
      </c>
      <c r="AM43">
        <v>23628.32630000007</v>
      </c>
      <c r="AN43">
        <v>50006261138.010002</v>
      </c>
      <c r="AO43">
        <v>42248</v>
      </c>
      <c r="AP43">
        <v>77306</v>
      </c>
      <c r="AQ43">
        <v>52715649552</v>
      </c>
      <c r="AR43">
        <v>23347.206300000053</v>
      </c>
      <c r="AS43">
        <v>61200536408.849998</v>
      </c>
      <c r="AU43" s="1">
        <f t="shared" si="18"/>
        <v>37</v>
      </c>
      <c r="AV43" s="1">
        <f t="shared" ca="1" si="19"/>
        <v>84</v>
      </c>
      <c r="AW43" t="s">
        <v>16</v>
      </c>
      <c r="AX43">
        <v>1004.3000000000001</v>
      </c>
      <c r="AY43">
        <v>1003.1</v>
      </c>
      <c r="AZ43">
        <v>1003.1</v>
      </c>
      <c r="BA43">
        <v>1003.3</v>
      </c>
      <c r="BC43" s="1">
        <f t="shared" si="20"/>
        <v>71</v>
      </c>
      <c r="BD43" t="s">
        <v>57</v>
      </c>
      <c r="BE43">
        <v>6192156.9900000002</v>
      </c>
      <c r="BF43">
        <v>3132511</v>
      </c>
      <c r="BG43">
        <v>6898591.6600000001</v>
      </c>
      <c r="BH43">
        <v>3501081</v>
      </c>
      <c r="BI43">
        <v>6750618.79</v>
      </c>
      <c r="BJ43">
        <v>3428448</v>
      </c>
      <c r="BK43">
        <v>2640620.02</v>
      </c>
      <c r="BL43">
        <v>1376182</v>
      </c>
      <c r="BO43" s="1">
        <f t="shared" si="21"/>
        <v>47</v>
      </c>
      <c r="BP43" t="s">
        <v>32</v>
      </c>
      <c r="BQ43" s="106">
        <v>0.62</v>
      </c>
      <c r="BR43" s="106">
        <v>0.63</v>
      </c>
      <c r="BS43" s="106">
        <v>0.64</v>
      </c>
      <c r="BT43" s="106">
        <v>0.65</v>
      </c>
      <c r="BU43" s="2">
        <f t="shared" ca="1" si="22"/>
        <v>0.56000000000000005</v>
      </c>
      <c r="BV43" s="2"/>
      <c r="BW43" s="1" t="str">
        <f t="shared" si="23"/>
        <v>Porirua City</v>
      </c>
      <c r="BX43" s="107">
        <f t="shared" ca="1" si="24"/>
        <v>-2.8455284552845067E-3</v>
      </c>
      <c r="BY43" s="2">
        <f t="shared" ca="1" si="25"/>
        <v>0.19812091994959719</v>
      </c>
      <c r="BZ43" s="2">
        <f t="shared" ca="1" si="26"/>
        <v>1.8735879208684632E-2</v>
      </c>
    </row>
    <row r="44" spans="1:78" x14ac:dyDescent="0.25">
      <c r="A44">
        <v>47</v>
      </c>
      <c r="B44" t="s">
        <v>39</v>
      </c>
      <c r="C44" s="80">
        <v>668</v>
      </c>
      <c r="D44" s="80">
        <f t="shared" ca="1" si="2"/>
        <v>666.7</v>
      </c>
      <c r="E44" s="80">
        <v>3292312355</v>
      </c>
      <c r="F44" s="80">
        <f t="shared" ca="1" si="3"/>
        <v>3688799935</v>
      </c>
      <c r="G44" s="80">
        <v>6551</v>
      </c>
      <c r="H44" s="80">
        <f t="shared" ca="1" si="4"/>
        <v>6524</v>
      </c>
      <c r="I44" s="82">
        <v>974.01822477219037</v>
      </c>
      <c r="J44" s="80">
        <v>2905631</v>
      </c>
      <c r="K44" s="80">
        <v>1674675</v>
      </c>
      <c r="L44" s="80">
        <v>3132030</v>
      </c>
      <c r="M44" s="80">
        <v>1799854</v>
      </c>
      <c r="N44" s="80">
        <v>4264728</v>
      </c>
      <c r="O44" s="80">
        <v>2547274</v>
      </c>
      <c r="P44" s="80">
        <v>4434678</v>
      </c>
      <c r="Q44" s="80">
        <v>2840046</v>
      </c>
      <c r="R44" s="80">
        <f t="shared" ca="1" si="5"/>
        <v>3216852.8600000008</v>
      </c>
      <c r="S44" s="80">
        <f t="shared" ca="1" si="6"/>
        <v>1586344</v>
      </c>
      <c r="T44" s="80">
        <f t="shared" ca="1" si="7"/>
        <v>3177518.8499999996</v>
      </c>
      <c r="U44" s="80">
        <f t="shared" ca="1" si="8"/>
        <v>1571620</v>
      </c>
      <c r="V44" s="80">
        <f t="shared" ca="1" si="9"/>
        <v>3206141.3699999992</v>
      </c>
      <c r="W44" s="80">
        <f t="shared" ca="1" si="10"/>
        <v>1588628</v>
      </c>
      <c r="X44" s="80">
        <f t="shared" ca="1" si="11"/>
        <v>1445861.52</v>
      </c>
      <c r="Y44" s="80">
        <f t="shared" ca="1" si="12"/>
        <v>751848</v>
      </c>
      <c r="Z44">
        <f t="shared" si="27"/>
        <v>14737067</v>
      </c>
      <c r="AA44">
        <f t="shared" si="28"/>
        <v>8861849</v>
      </c>
      <c r="AB44" s="3">
        <f t="shared" si="15"/>
        <v>5875218</v>
      </c>
      <c r="AC44" s="2">
        <f t="shared" si="29"/>
        <v>0.60133057683730418</v>
      </c>
      <c r="AD44" s="1">
        <f t="shared" ca="1" si="16"/>
        <v>1.8073628598673244E-7</v>
      </c>
      <c r="AE44" s="1">
        <v>89</v>
      </c>
      <c r="AH44" s="1">
        <f t="shared" si="1"/>
        <v>43</v>
      </c>
      <c r="AI44" s="1">
        <f t="shared" ca="1" si="17"/>
        <v>89</v>
      </c>
      <c r="AJ44" t="s">
        <v>207</v>
      </c>
      <c r="AK44">
        <v>12227</v>
      </c>
      <c r="AL44">
        <v>4551316300</v>
      </c>
      <c r="AM44">
        <v>209139.76000000007</v>
      </c>
      <c r="AN44">
        <v>4547331636</v>
      </c>
      <c r="AO44">
        <v>41883</v>
      </c>
      <c r="AP44">
        <v>12240</v>
      </c>
      <c r="AQ44">
        <v>4736721900</v>
      </c>
      <c r="AR44">
        <v>208920.89</v>
      </c>
      <c r="AS44">
        <v>4979341105</v>
      </c>
      <c r="AU44" s="1">
        <f t="shared" si="18"/>
        <v>45</v>
      </c>
      <c r="AV44" s="1">
        <f t="shared" ca="1" si="19"/>
        <v>88</v>
      </c>
      <c r="AW44" t="s">
        <v>31</v>
      </c>
      <c r="AX44">
        <v>1336.9</v>
      </c>
      <c r="AY44">
        <v>1337.6</v>
      </c>
      <c r="AZ44">
        <v>1339.2</v>
      </c>
      <c r="BA44">
        <v>1339.1999999999998</v>
      </c>
      <c r="BC44" s="1">
        <f t="shared" si="20"/>
        <v>72</v>
      </c>
      <c r="BD44" t="s">
        <v>58</v>
      </c>
      <c r="BE44">
        <v>12640877.089999996</v>
      </c>
      <c r="BF44">
        <v>7583926</v>
      </c>
      <c r="BG44">
        <v>13243345.800000001</v>
      </c>
      <c r="BH44">
        <v>8018316</v>
      </c>
      <c r="BI44">
        <v>14923920.1</v>
      </c>
      <c r="BJ44">
        <v>8941755</v>
      </c>
      <c r="BK44">
        <v>4271305.17</v>
      </c>
      <c r="BL44">
        <v>2594786</v>
      </c>
      <c r="BO44" s="1">
        <f t="shared" si="21"/>
        <v>48</v>
      </c>
      <c r="BP44" t="s">
        <v>33</v>
      </c>
      <c r="BQ44" s="106">
        <v>0.64</v>
      </c>
      <c r="BR44" s="106">
        <v>0.63</v>
      </c>
      <c r="BS44" s="106">
        <v>0.62</v>
      </c>
      <c r="BT44" s="106">
        <v>0.6</v>
      </c>
      <c r="BU44" s="2">
        <f t="shared" ca="1" si="22"/>
        <v>0.52</v>
      </c>
      <c r="BV44" s="2"/>
      <c r="BW44" s="1" t="str">
        <f t="shared" si="23"/>
        <v>South Wairarapa District</v>
      </c>
      <c r="BX44" s="107">
        <f t="shared" ca="1" si="24"/>
        <v>-1.9461077844310697E-3</v>
      </c>
      <c r="BY44" s="2">
        <f t="shared" ca="1" si="25"/>
        <v>0.12042830000557465</v>
      </c>
      <c r="BZ44" s="2">
        <f t="shared" ca="1" si="26"/>
        <v>-4.1215081666921083E-3</v>
      </c>
    </row>
    <row r="45" spans="1:78" x14ac:dyDescent="0.25">
      <c r="A45">
        <v>48</v>
      </c>
      <c r="B45" t="s">
        <v>40</v>
      </c>
      <c r="C45" s="80">
        <v>238</v>
      </c>
      <c r="D45" s="80">
        <f t="shared" ca="1" si="2"/>
        <v>238.3</v>
      </c>
      <c r="E45" s="80">
        <v>6808801456</v>
      </c>
      <c r="F45" s="80">
        <f t="shared" ca="1" si="3"/>
        <v>7853071885</v>
      </c>
      <c r="G45" s="80">
        <v>16451</v>
      </c>
      <c r="H45" s="80">
        <f t="shared" ca="1" si="4"/>
        <v>16619</v>
      </c>
      <c r="I45" s="82">
        <v>976.87231214324811</v>
      </c>
      <c r="J45" s="80">
        <v>4064945</v>
      </c>
      <c r="K45" s="80">
        <v>1894432</v>
      </c>
      <c r="L45" s="80">
        <v>5355659</v>
      </c>
      <c r="M45" s="80">
        <v>2634579</v>
      </c>
      <c r="N45" s="80">
        <v>7405862</v>
      </c>
      <c r="O45" s="80">
        <v>3787450</v>
      </c>
      <c r="P45" s="80">
        <v>4039716</v>
      </c>
      <c r="Q45" s="80">
        <v>1919541</v>
      </c>
      <c r="R45" s="80">
        <f t="shared" ca="1" si="5"/>
        <v>4124542.1499999994</v>
      </c>
      <c r="S45" s="80">
        <f t="shared" ca="1" si="6"/>
        <v>1956651</v>
      </c>
      <c r="T45" s="80">
        <f t="shared" ca="1" si="7"/>
        <v>3990980.8300000005</v>
      </c>
      <c r="U45" s="80">
        <f t="shared" ca="1" si="8"/>
        <v>1870436</v>
      </c>
      <c r="V45" s="80">
        <f t="shared" ca="1" si="9"/>
        <v>4943245.79</v>
      </c>
      <c r="W45" s="80">
        <f t="shared" ca="1" si="10"/>
        <v>2374952</v>
      </c>
      <c r="X45" s="80">
        <f t="shared" ca="1" si="11"/>
        <v>3622537.9800000009</v>
      </c>
      <c r="Y45" s="80">
        <f t="shared" ca="1" si="12"/>
        <v>2005240</v>
      </c>
      <c r="Z45">
        <f t="shared" si="27"/>
        <v>20866182</v>
      </c>
      <c r="AA45">
        <f t="shared" si="28"/>
        <v>10236002</v>
      </c>
      <c r="AB45" s="3">
        <f t="shared" si="15"/>
        <v>10630180</v>
      </c>
      <c r="AC45" s="2">
        <f t="shared" si="29"/>
        <v>0.49055462086930901</v>
      </c>
      <c r="AD45" s="1">
        <f t="shared" ca="1" si="16"/>
        <v>3.0344813276849306E-8</v>
      </c>
      <c r="AE45" s="1">
        <v>89</v>
      </c>
      <c r="AH45" s="1">
        <f t="shared" si="1"/>
        <v>38</v>
      </c>
      <c r="AI45" s="1">
        <f t="shared" ca="1" si="17"/>
        <v>89</v>
      </c>
      <c r="AJ45" t="s">
        <v>208</v>
      </c>
      <c r="AK45">
        <v>4540</v>
      </c>
      <c r="AL45">
        <v>2014328100</v>
      </c>
      <c r="AM45">
        <v>88519.346399999951</v>
      </c>
      <c r="AN45">
        <v>2021305729</v>
      </c>
      <c r="AO45">
        <v>41883</v>
      </c>
      <c r="AP45">
        <v>4592</v>
      </c>
      <c r="AQ45">
        <v>2205873200</v>
      </c>
      <c r="AR45">
        <v>88677.766399999935</v>
      </c>
      <c r="AS45">
        <v>2290448775</v>
      </c>
      <c r="AU45" s="1">
        <f t="shared" si="18"/>
        <v>54</v>
      </c>
      <c r="AV45" s="1">
        <f t="shared" ca="1" si="19"/>
        <v>91</v>
      </c>
      <c r="AW45" t="s">
        <v>50</v>
      </c>
      <c r="AX45">
        <v>2491.8000000000002</v>
      </c>
      <c r="AY45">
        <v>2504.9</v>
      </c>
      <c r="AZ45">
        <v>2527.6</v>
      </c>
      <c r="BA45">
        <v>2571.6999999999998</v>
      </c>
      <c r="BC45" s="1">
        <f t="shared" si="20"/>
        <v>73</v>
      </c>
      <c r="BD45" t="s">
        <v>59</v>
      </c>
      <c r="BE45">
        <v>22565928.190000001</v>
      </c>
      <c r="BF45">
        <v>12798446</v>
      </c>
      <c r="BG45">
        <v>23948803.969999999</v>
      </c>
      <c r="BH45">
        <v>13807786</v>
      </c>
      <c r="BI45">
        <v>31609716.16</v>
      </c>
      <c r="BJ45">
        <v>18630901</v>
      </c>
      <c r="BK45">
        <v>9611249.2600000016</v>
      </c>
      <c r="BL45">
        <v>5706504</v>
      </c>
      <c r="BO45" s="1">
        <f t="shared" si="21"/>
        <v>49</v>
      </c>
      <c r="BP45" t="s">
        <v>34</v>
      </c>
      <c r="BQ45" s="106">
        <v>0.54</v>
      </c>
      <c r="BR45" s="106">
        <v>0.53</v>
      </c>
      <c r="BS45" s="106">
        <v>0.53</v>
      </c>
      <c r="BT45" s="106">
        <v>0.53</v>
      </c>
      <c r="BU45" s="2">
        <f t="shared" ca="1" si="22"/>
        <v>0.51</v>
      </c>
      <c r="BV45" s="2"/>
      <c r="BW45" s="1" t="str">
        <f t="shared" si="23"/>
        <v>Upper Hutt City</v>
      </c>
      <c r="BX45" s="107">
        <f t="shared" ca="1" si="24"/>
        <v>1.26050420168072E-3</v>
      </c>
      <c r="BY45" s="2">
        <f t="shared" ca="1" si="25"/>
        <v>0.15337066820765877</v>
      </c>
      <c r="BZ45" s="2">
        <f t="shared" ca="1" si="26"/>
        <v>1.0212145158349036E-2</v>
      </c>
    </row>
    <row r="46" spans="1:78" x14ac:dyDescent="0.25">
      <c r="A46">
        <v>49</v>
      </c>
      <c r="B46" t="s">
        <v>41</v>
      </c>
      <c r="C46" s="80">
        <v>691</v>
      </c>
      <c r="D46" s="80">
        <f t="shared" ca="1" si="2"/>
        <v>690.7</v>
      </c>
      <c r="E46" s="80">
        <v>50006261138</v>
      </c>
      <c r="F46" s="80">
        <f t="shared" ca="1" si="3"/>
        <v>61200536408.849998</v>
      </c>
      <c r="G46" s="80">
        <v>76166</v>
      </c>
      <c r="H46" s="80">
        <f t="shared" ca="1" si="4"/>
        <v>77306</v>
      </c>
      <c r="I46" s="82">
        <v>962.11787212002741</v>
      </c>
      <c r="J46" s="80">
        <v>32160737</v>
      </c>
      <c r="K46" s="80">
        <v>14753434</v>
      </c>
      <c r="L46" s="80">
        <v>35501931</v>
      </c>
      <c r="M46" s="80">
        <v>16450776</v>
      </c>
      <c r="N46" s="80">
        <v>35386502</v>
      </c>
      <c r="O46" s="80">
        <v>16368469</v>
      </c>
      <c r="P46" s="80">
        <v>30972041</v>
      </c>
      <c r="Q46" s="80">
        <v>14180011</v>
      </c>
      <c r="R46" s="80">
        <f t="shared" ca="1" si="5"/>
        <v>33226544.670000002</v>
      </c>
      <c r="S46" s="80">
        <f t="shared" ca="1" si="6"/>
        <v>15178393</v>
      </c>
      <c r="T46" s="80">
        <f t="shared" ca="1" si="7"/>
        <v>32489001.059999999</v>
      </c>
      <c r="U46" s="80">
        <f t="shared" ca="1" si="8"/>
        <v>14809649</v>
      </c>
      <c r="V46" s="80">
        <f t="shared" ca="1" si="9"/>
        <v>45726975.160000004</v>
      </c>
      <c r="W46" s="80">
        <f t="shared" ca="1" si="10"/>
        <v>21710945</v>
      </c>
      <c r="X46" s="80">
        <f t="shared" ca="1" si="11"/>
        <v>17094000.009999998</v>
      </c>
      <c r="Y46" s="80">
        <f t="shared" ca="1" si="12"/>
        <v>8205120</v>
      </c>
      <c r="Z46">
        <f t="shared" si="27"/>
        <v>134021211</v>
      </c>
      <c r="AA46">
        <f t="shared" si="28"/>
        <v>61752690</v>
      </c>
      <c r="AB46" s="3">
        <f t="shared" si="15"/>
        <v>72268521</v>
      </c>
      <c r="AC46" s="2">
        <f t="shared" si="29"/>
        <v>0.46076803469564231</v>
      </c>
      <c r="AD46" s="1">
        <f t="shared" ca="1" si="16"/>
        <v>1.128584879364097E-8</v>
      </c>
      <c r="AE46" s="1">
        <v>89</v>
      </c>
      <c r="AH46" s="1">
        <f t="shared" si="1"/>
        <v>40</v>
      </c>
      <c r="AI46" s="1">
        <f t="shared" ca="1" si="17"/>
        <v>89</v>
      </c>
      <c r="AJ46" t="s">
        <v>209</v>
      </c>
      <c r="AK46">
        <v>6551</v>
      </c>
      <c r="AL46">
        <v>3315529700</v>
      </c>
      <c r="AM46">
        <v>176799.28619999997</v>
      </c>
      <c r="AN46">
        <v>3292312355</v>
      </c>
      <c r="AO46">
        <v>41883</v>
      </c>
      <c r="AP46">
        <v>6524</v>
      </c>
      <c r="AQ46">
        <v>3585872100</v>
      </c>
      <c r="AR46">
        <v>176474.611</v>
      </c>
      <c r="AS46">
        <v>3688799935</v>
      </c>
      <c r="AU46" s="1">
        <f t="shared" si="18"/>
        <v>63</v>
      </c>
      <c r="AV46" s="1">
        <f t="shared" ca="1" si="19"/>
        <v>87</v>
      </c>
      <c r="AW46" t="s">
        <v>25</v>
      </c>
      <c r="AX46">
        <v>1624.4</v>
      </c>
      <c r="AY46">
        <v>1609.8000000000002</v>
      </c>
      <c r="AZ46">
        <v>1629.6</v>
      </c>
      <c r="BA46">
        <v>1633.0000000000002</v>
      </c>
      <c r="BC46" s="1">
        <f t="shared" si="20"/>
        <v>74</v>
      </c>
      <c r="BD46" t="s">
        <v>75</v>
      </c>
      <c r="BE46">
        <v>8052196.0199999996</v>
      </c>
      <c r="BF46">
        <v>4207680</v>
      </c>
      <c r="BG46">
        <v>7390719.96</v>
      </c>
      <c r="BH46">
        <v>3905630</v>
      </c>
      <c r="BI46">
        <v>8918968.1700000018</v>
      </c>
      <c r="BJ46">
        <v>4689056</v>
      </c>
      <c r="BK46">
        <v>4859553.580000001</v>
      </c>
      <c r="BL46">
        <v>2624761</v>
      </c>
      <c r="BO46" s="1">
        <f t="shared" si="21"/>
        <v>50</v>
      </c>
      <c r="BP46" t="s">
        <v>262</v>
      </c>
      <c r="BQ46" s="106">
        <v>0.52</v>
      </c>
      <c r="BR46" s="106">
        <v>0.51</v>
      </c>
      <c r="BS46" s="106">
        <v>0.51</v>
      </c>
      <c r="BT46" s="106">
        <v>0.51</v>
      </c>
      <c r="BU46" s="2">
        <f t="shared" ca="1" si="22"/>
        <v>0.51</v>
      </c>
      <c r="BV46" s="2"/>
      <c r="BW46" s="1" t="str">
        <f t="shared" si="23"/>
        <v>Wellington City</v>
      </c>
      <c r="BX46" s="107">
        <f t="shared" ca="1" si="24"/>
        <v>-4.34153400868241E-4</v>
      </c>
      <c r="BY46" s="2">
        <f t="shared" ca="1" si="25"/>
        <v>0.22385747336633841</v>
      </c>
      <c r="BZ46" s="2">
        <f t="shared" ca="1" si="26"/>
        <v>1.4967308247774598E-2</v>
      </c>
    </row>
    <row r="47" spans="1:78" x14ac:dyDescent="0.25">
      <c r="A47">
        <v>50</v>
      </c>
      <c r="B47" t="s">
        <v>42</v>
      </c>
      <c r="C47" s="80">
        <v>205</v>
      </c>
      <c r="D47" s="80">
        <f t="shared" ca="1" si="2"/>
        <v>204.7</v>
      </c>
      <c r="E47" s="80">
        <v>1435028217</v>
      </c>
      <c r="F47" s="80">
        <f t="shared" ca="1" si="3"/>
        <v>1530591343</v>
      </c>
      <c r="G47" s="80">
        <v>2990</v>
      </c>
      <c r="H47" s="80">
        <f t="shared" ca="1" si="4"/>
        <v>2940</v>
      </c>
      <c r="I47" s="82">
        <v>979.36400651465794</v>
      </c>
      <c r="J47" s="80">
        <v>717305</v>
      </c>
      <c r="K47" s="80">
        <v>347690</v>
      </c>
      <c r="L47" s="80">
        <v>628912</v>
      </c>
      <c r="M47" s="80">
        <v>303806</v>
      </c>
      <c r="N47" s="80">
        <v>1071323</v>
      </c>
      <c r="O47" s="80">
        <v>521535</v>
      </c>
      <c r="P47" s="80">
        <v>642815</v>
      </c>
      <c r="Q47" s="80">
        <v>302605</v>
      </c>
      <c r="R47" s="80">
        <f t="shared" ca="1" si="5"/>
        <v>819792.92</v>
      </c>
      <c r="S47" s="80">
        <f t="shared" ca="1" si="6"/>
        <v>398534</v>
      </c>
      <c r="T47" s="80">
        <f t="shared" ca="1" si="7"/>
        <v>1610340.39</v>
      </c>
      <c r="U47" s="80">
        <f t="shared" ca="1" si="8"/>
        <v>786434</v>
      </c>
      <c r="V47" s="80">
        <f t="shared" ca="1" si="9"/>
        <v>951759.18</v>
      </c>
      <c r="W47" s="80">
        <f t="shared" ca="1" si="10"/>
        <v>428827</v>
      </c>
      <c r="X47" s="80">
        <f t="shared" ca="1" si="11"/>
        <v>343793.60999999993</v>
      </c>
      <c r="Y47" s="80">
        <f t="shared" ca="1" si="12"/>
        <v>161583</v>
      </c>
      <c r="Z47">
        <f t="shared" si="27"/>
        <v>3060355</v>
      </c>
      <c r="AA47">
        <f t="shared" si="28"/>
        <v>1475636</v>
      </c>
      <c r="AB47" s="3">
        <f t="shared" si="15"/>
        <v>1584719</v>
      </c>
      <c r="AC47" s="2">
        <f t="shared" si="29"/>
        <v>0.48217804797155883</v>
      </c>
      <c r="AD47" s="1">
        <f t="shared" ca="1" si="16"/>
        <v>1.3373915966281535E-7</v>
      </c>
      <c r="AE47" s="1">
        <v>91</v>
      </c>
      <c r="AH47" s="1">
        <f t="shared" si="1"/>
        <v>47</v>
      </c>
      <c r="AI47" s="1">
        <f t="shared" ca="1" si="17"/>
        <v>53</v>
      </c>
      <c r="AJ47" t="s">
        <v>210</v>
      </c>
      <c r="AK47">
        <v>23119</v>
      </c>
      <c r="AL47">
        <v>12543416750</v>
      </c>
      <c r="AM47">
        <v>315909.0584000001</v>
      </c>
      <c r="AN47">
        <v>13072290936.5</v>
      </c>
      <c r="AO47">
        <v>41883</v>
      </c>
      <c r="AP47">
        <v>23200</v>
      </c>
      <c r="AQ47">
        <v>13514636000</v>
      </c>
      <c r="AR47">
        <v>315430.51840000023</v>
      </c>
      <c r="AS47">
        <v>14745070545</v>
      </c>
      <c r="AU47" s="1">
        <f t="shared" si="18"/>
        <v>22</v>
      </c>
      <c r="AV47" s="1">
        <f t="shared" ca="1" si="19"/>
        <v>83</v>
      </c>
      <c r="AW47" t="s">
        <v>8</v>
      </c>
      <c r="AX47">
        <v>508.9</v>
      </c>
      <c r="AY47">
        <v>502.9</v>
      </c>
      <c r="AZ47">
        <v>509.4</v>
      </c>
      <c r="BA47">
        <v>507.8</v>
      </c>
      <c r="BC47" s="1">
        <f t="shared" si="20"/>
        <v>13</v>
      </c>
      <c r="BD47" t="s">
        <v>60</v>
      </c>
      <c r="BE47">
        <v>18185976.710000001</v>
      </c>
      <c r="BF47">
        <v>9058940</v>
      </c>
      <c r="BG47">
        <v>13149008.969999997</v>
      </c>
      <c r="BH47">
        <v>6349255</v>
      </c>
      <c r="BI47">
        <v>13383959.950000003</v>
      </c>
      <c r="BJ47">
        <v>6696909</v>
      </c>
      <c r="BK47">
        <v>4586195.9700000007</v>
      </c>
      <c r="BL47">
        <v>2487927</v>
      </c>
      <c r="BO47" s="1">
        <f t="shared" si="21"/>
        <v>58</v>
      </c>
      <c r="BP47" t="s">
        <v>255</v>
      </c>
      <c r="BQ47" s="106">
        <v>0.51</v>
      </c>
      <c r="BR47" s="106">
        <v>0.51</v>
      </c>
      <c r="BS47" s="106">
        <v>0.51</v>
      </c>
      <c r="BT47" s="106">
        <v>0.51</v>
      </c>
      <c r="BU47" s="2">
        <f t="shared" ca="1" si="22"/>
        <v>0.51</v>
      </c>
      <c r="BV47" s="2"/>
      <c r="BW47" s="1" t="str">
        <f t="shared" si="23"/>
        <v>Kaikoura District</v>
      </c>
      <c r="BX47" s="107">
        <f t="shared" ca="1" si="24"/>
        <v>-1.463414634146397E-3</v>
      </c>
      <c r="BY47" s="2">
        <f t="shared" ca="1" si="25"/>
        <v>6.6593203442214963E-2</v>
      </c>
      <c r="BZ47" s="2">
        <f t="shared" ca="1" si="26"/>
        <v>-1.6722408026755852E-2</v>
      </c>
    </row>
    <row r="48" spans="1:78" x14ac:dyDescent="0.25">
      <c r="A48">
        <v>51</v>
      </c>
      <c r="B48" t="s">
        <v>43</v>
      </c>
      <c r="C48" s="80">
        <v>1533</v>
      </c>
      <c r="D48" s="80">
        <f t="shared" ca="1" si="2"/>
        <v>1531.6</v>
      </c>
      <c r="E48" s="80">
        <v>14571895838</v>
      </c>
      <c r="F48" s="80">
        <f t="shared" ca="1" si="3"/>
        <v>16794934035</v>
      </c>
      <c r="G48" s="80">
        <v>25919</v>
      </c>
      <c r="H48" s="80">
        <f t="shared" ca="1" si="4"/>
        <v>26261</v>
      </c>
      <c r="I48" s="82">
        <v>965.17406912085596</v>
      </c>
      <c r="J48" s="80">
        <v>10149303</v>
      </c>
      <c r="K48" s="80">
        <v>4930349</v>
      </c>
      <c r="L48" s="80">
        <v>10932465</v>
      </c>
      <c r="M48" s="80">
        <v>5420935</v>
      </c>
      <c r="N48" s="80">
        <v>11483475</v>
      </c>
      <c r="O48" s="80">
        <v>5533370</v>
      </c>
      <c r="P48" s="80">
        <v>10275287</v>
      </c>
      <c r="Q48" s="80">
        <v>4899654</v>
      </c>
      <c r="R48" s="80">
        <f t="shared" ca="1" si="5"/>
        <v>12673297.120000001</v>
      </c>
      <c r="S48" s="80">
        <f t="shared" ca="1" si="6"/>
        <v>6038906</v>
      </c>
      <c r="T48" s="80">
        <f t="shared" ca="1" si="7"/>
        <v>13851088.319999998</v>
      </c>
      <c r="U48" s="80">
        <f t="shared" ca="1" si="8"/>
        <v>6778654</v>
      </c>
      <c r="V48" s="80">
        <f t="shared" ca="1" si="9"/>
        <v>13621271.390000001</v>
      </c>
      <c r="W48" s="80">
        <f t="shared" ca="1" si="10"/>
        <v>6507933</v>
      </c>
      <c r="X48" s="80">
        <f t="shared" ca="1" si="11"/>
        <v>5795032.6699999999</v>
      </c>
      <c r="Y48" s="80">
        <f t="shared" ca="1" si="12"/>
        <v>2903870</v>
      </c>
      <c r="Z48">
        <f t="shared" si="27"/>
        <v>42840530</v>
      </c>
      <c r="AA48">
        <f t="shared" si="28"/>
        <v>20784308</v>
      </c>
      <c r="AB48" s="3">
        <f t="shared" si="15"/>
        <v>22056222</v>
      </c>
      <c r="AC48" s="2">
        <f t="shared" si="29"/>
        <v>0.48515524901302576</v>
      </c>
      <c r="AD48" s="1">
        <f t="shared" ca="1" si="16"/>
        <v>9.119416586026501E-8</v>
      </c>
      <c r="AE48" s="1">
        <v>51</v>
      </c>
      <c r="AH48" s="1">
        <f t="shared" si="1"/>
        <v>46</v>
      </c>
      <c r="AI48" s="1">
        <f t="shared" ca="1" si="17"/>
        <v>52</v>
      </c>
      <c r="AJ48" t="s">
        <v>211</v>
      </c>
      <c r="AK48">
        <v>21250</v>
      </c>
      <c r="AL48">
        <v>9880441350</v>
      </c>
      <c r="AM48">
        <v>32525.117600000005</v>
      </c>
      <c r="AN48">
        <v>10290157165.5</v>
      </c>
      <c r="AO48">
        <v>42248</v>
      </c>
      <c r="AP48">
        <v>21522</v>
      </c>
      <c r="AQ48">
        <v>10969984180</v>
      </c>
      <c r="AR48">
        <v>33259.007599999997</v>
      </c>
      <c r="AS48">
        <v>11919588699.5</v>
      </c>
      <c r="AU48" s="1">
        <f t="shared" si="18"/>
        <v>28</v>
      </c>
      <c r="AV48" s="1">
        <f t="shared" ca="1" si="19"/>
        <v>89</v>
      </c>
      <c r="AW48" t="s">
        <v>39</v>
      </c>
      <c r="AX48">
        <v>666.7</v>
      </c>
      <c r="AY48">
        <v>666.6</v>
      </c>
      <c r="AZ48">
        <v>666.60000000000014</v>
      </c>
      <c r="BA48">
        <v>668.5</v>
      </c>
      <c r="BC48" s="1">
        <f t="shared" si="20"/>
        <v>34</v>
      </c>
      <c r="BD48" t="s">
        <v>61</v>
      </c>
      <c r="BE48">
        <v>8478028.5</v>
      </c>
      <c r="BF48">
        <v>4928279</v>
      </c>
      <c r="BG48">
        <v>9581515.5999999996</v>
      </c>
      <c r="BH48">
        <v>5845681</v>
      </c>
      <c r="BI48">
        <v>10001378.829999998</v>
      </c>
      <c r="BJ48">
        <v>5653232</v>
      </c>
      <c r="BK48">
        <v>5905739.6699999999</v>
      </c>
      <c r="BL48">
        <v>3425329</v>
      </c>
      <c r="BO48" s="1">
        <f t="shared" si="21"/>
        <v>52</v>
      </c>
      <c r="BP48" t="s">
        <v>35</v>
      </c>
      <c r="BQ48" s="106">
        <v>0.47</v>
      </c>
      <c r="BR48" s="106">
        <v>0.48</v>
      </c>
      <c r="BS48" s="106">
        <v>0.49</v>
      </c>
      <c r="BT48" s="106">
        <v>0.51</v>
      </c>
      <c r="BU48" s="2">
        <f t="shared" ca="1" si="22"/>
        <v>0.51</v>
      </c>
      <c r="BV48" s="2"/>
      <c r="BW48" s="1" t="str">
        <f t="shared" si="23"/>
        <v>Marlborough District</v>
      </c>
      <c r="BX48" s="107">
        <f t="shared" ca="1" si="24"/>
        <v>-9.1324200913247937E-4</v>
      </c>
      <c r="BY48" s="2">
        <f t="shared" ca="1" si="25"/>
        <v>0.15255655281331693</v>
      </c>
      <c r="BZ48" s="2">
        <f t="shared" ca="1" si="26"/>
        <v>1.3194953509008836E-2</v>
      </c>
    </row>
    <row r="49" spans="1:78" x14ac:dyDescent="0.25">
      <c r="A49">
        <v>52</v>
      </c>
      <c r="B49" t="s">
        <v>44</v>
      </c>
      <c r="C49" s="80">
        <v>262</v>
      </c>
      <c r="D49" s="80">
        <f t="shared" ca="1" si="2"/>
        <v>262.39999999999998</v>
      </c>
      <c r="E49" s="80">
        <v>10290157166</v>
      </c>
      <c r="F49" s="80">
        <f t="shared" ca="1" si="3"/>
        <v>11919588699.5</v>
      </c>
      <c r="G49" s="80">
        <v>21250</v>
      </c>
      <c r="H49" s="80">
        <f t="shared" ca="1" si="4"/>
        <v>21522</v>
      </c>
      <c r="I49" s="82">
        <v>988.50857669407424</v>
      </c>
      <c r="J49" s="80">
        <v>5768273</v>
      </c>
      <c r="K49" s="80">
        <v>2734120</v>
      </c>
      <c r="L49" s="80">
        <v>5608298</v>
      </c>
      <c r="M49" s="80">
        <v>2732840</v>
      </c>
      <c r="N49" s="80">
        <v>6141025</v>
      </c>
      <c r="O49" s="80">
        <v>2931676</v>
      </c>
      <c r="P49" s="80">
        <v>7022784</v>
      </c>
      <c r="Q49" s="80">
        <v>3279294</v>
      </c>
      <c r="R49" s="80">
        <f t="shared" ca="1" si="5"/>
        <v>8631577.7400000021</v>
      </c>
      <c r="S49" s="80">
        <f t="shared" ca="1" si="6"/>
        <v>3969248</v>
      </c>
      <c r="T49" s="80">
        <f t="shared" ca="1" si="7"/>
        <v>12621745.98</v>
      </c>
      <c r="U49" s="80">
        <f t="shared" ca="1" si="8"/>
        <v>6031960</v>
      </c>
      <c r="V49" s="80">
        <f t="shared" ca="1" si="9"/>
        <v>10427720.599999998</v>
      </c>
      <c r="W49" s="80">
        <f t="shared" ca="1" si="10"/>
        <v>4835101</v>
      </c>
      <c r="X49" s="80">
        <f t="shared" ca="1" si="11"/>
        <v>3903777.4899999998</v>
      </c>
      <c r="Y49" s="80">
        <f t="shared" ca="1" si="12"/>
        <v>1857328</v>
      </c>
      <c r="Z49">
        <f t="shared" si="27"/>
        <v>24540380</v>
      </c>
      <c r="AA49">
        <f t="shared" si="28"/>
        <v>11677930</v>
      </c>
      <c r="AB49" s="3">
        <f t="shared" si="15"/>
        <v>12862450</v>
      </c>
      <c r="AC49" s="2">
        <f t="shared" si="29"/>
        <v>0.47586589938705104</v>
      </c>
      <c r="AD49" s="1">
        <f t="shared" ca="1" si="16"/>
        <v>2.2014182419818486E-8</v>
      </c>
      <c r="AE49" s="1">
        <v>52</v>
      </c>
      <c r="AH49" s="1">
        <f t="shared" si="1"/>
        <v>45</v>
      </c>
      <c r="AI49" s="1">
        <f t="shared" ca="1" si="17"/>
        <v>51</v>
      </c>
      <c r="AJ49" t="s">
        <v>212</v>
      </c>
      <c r="AK49">
        <v>25919</v>
      </c>
      <c r="AL49">
        <v>13463037750</v>
      </c>
      <c r="AM49">
        <v>679019.6459</v>
      </c>
      <c r="AN49">
        <v>14571895837.499998</v>
      </c>
      <c r="AO49">
        <v>41821</v>
      </c>
      <c r="AP49">
        <v>26261</v>
      </c>
      <c r="AQ49">
        <v>15060071850</v>
      </c>
      <c r="AR49">
        <v>677746.07589999982</v>
      </c>
      <c r="AS49">
        <v>16794934035</v>
      </c>
      <c r="AU49" s="1">
        <f t="shared" si="18"/>
        <v>32</v>
      </c>
      <c r="AV49" s="1">
        <f t="shared" ca="1" si="19"/>
        <v>94</v>
      </c>
      <c r="AW49" t="s">
        <v>64</v>
      </c>
      <c r="AX49">
        <v>4968.8999999999996</v>
      </c>
      <c r="AY49">
        <v>4957.5</v>
      </c>
      <c r="AZ49">
        <v>4970.7000000000007</v>
      </c>
      <c r="BA49">
        <v>4970.6000000000004</v>
      </c>
      <c r="BC49" s="1">
        <f t="shared" si="20"/>
        <v>35</v>
      </c>
      <c r="BD49" t="s">
        <v>76</v>
      </c>
      <c r="BE49">
        <v>145030.76999999999</v>
      </c>
      <c r="BF49">
        <v>94270</v>
      </c>
      <c r="BG49">
        <v>388429.24</v>
      </c>
      <c r="BH49">
        <v>252479</v>
      </c>
      <c r="BI49">
        <v>163103.5</v>
      </c>
      <c r="BJ49">
        <v>103806</v>
      </c>
      <c r="BK49">
        <v>104410.94</v>
      </c>
      <c r="BL49">
        <v>66823</v>
      </c>
      <c r="BO49" s="1">
        <f t="shared" si="21"/>
        <v>51</v>
      </c>
      <c r="BP49" t="s">
        <v>37</v>
      </c>
      <c r="BQ49" s="106">
        <v>0.56999999999999995</v>
      </c>
      <c r="BR49" s="106">
        <v>0.56999999999999995</v>
      </c>
      <c r="BS49" s="106">
        <v>0.56999999999999995</v>
      </c>
      <c r="BT49" s="106">
        <v>0.56999999999999995</v>
      </c>
      <c r="BU49" s="2">
        <f t="shared" ca="1" si="22"/>
        <v>0.51</v>
      </c>
      <c r="BV49" s="2"/>
      <c r="BW49" s="1" t="str">
        <f t="shared" si="23"/>
        <v>Nelson City</v>
      </c>
      <c r="BX49" s="107">
        <f t="shared" ca="1" si="24"/>
        <v>1.5267175572518216E-3</v>
      </c>
      <c r="BY49" s="2">
        <f t="shared" ca="1" si="25"/>
        <v>0.15834855651027868</v>
      </c>
      <c r="BZ49" s="2">
        <f t="shared" ca="1" si="26"/>
        <v>1.2800000000000001E-2</v>
      </c>
    </row>
    <row r="50" spans="1:78" x14ac:dyDescent="0.25">
      <c r="A50">
        <v>53</v>
      </c>
      <c r="B50" t="s">
        <v>45</v>
      </c>
      <c r="C50" s="80">
        <v>1732</v>
      </c>
      <c r="D50" s="80">
        <f t="shared" ca="1" si="2"/>
        <v>1731.8000000000002</v>
      </c>
      <c r="E50" s="80">
        <v>13072290937</v>
      </c>
      <c r="F50" s="80">
        <f t="shared" ca="1" si="3"/>
        <v>14745070545</v>
      </c>
      <c r="G50" s="80">
        <v>23119</v>
      </c>
      <c r="H50" s="80">
        <f t="shared" ca="1" si="4"/>
        <v>23200</v>
      </c>
      <c r="I50" s="82">
        <v>964.50621765140818</v>
      </c>
      <c r="J50" s="80">
        <v>11979320</v>
      </c>
      <c r="K50" s="80">
        <v>6154278</v>
      </c>
      <c r="L50" s="80">
        <v>12869690</v>
      </c>
      <c r="M50" s="80">
        <v>6536061</v>
      </c>
      <c r="N50" s="80">
        <v>14101456</v>
      </c>
      <c r="O50" s="80">
        <v>7165100</v>
      </c>
      <c r="P50" s="80">
        <v>12161315</v>
      </c>
      <c r="Q50" s="80">
        <v>6114234</v>
      </c>
      <c r="R50" s="80">
        <f t="shared" ca="1" si="5"/>
        <v>15115546.439999999</v>
      </c>
      <c r="S50" s="80">
        <f t="shared" ca="1" si="6"/>
        <v>7674382</v>
      </c>
      <c r="T50" s="80">
        <f t="shared" ca="1" si="7"/>
        <v>18182214.740000002</v>
      </c>
      <c r="U50" s="80">
        <f t="shared" ca="1" si="8"/>
        <v>9643130</v>
      </c>
      <c r="V50" s="80">
        <f t="shared" ca="1" si="9"/>
        <v>15363229.610000001</v>
      </c>
      <c r="W50" s="80">
        <f t="shared" ca="1" si="10"/>
        <v>7814892</v>
      </c>
      <c r="X50" s="80">
        <f t="shared" ca="1" si="11"/>
        <v>4965623.71</v>
      </c>
      <c r="Y50" s="80">
        <f t="shared" ca="1" si="12"/>
        <v>2585487</v>
      </c>
      <c r="Z50">
        <f t="shared" si="27"/>
        <v>51111781</v>
      </c>
      <c r="AA50">
        <f t="shared" si="28"/>
        <v>25969673</v>
      </c>
      <c r="AB50" s="3">
        <f t="shared" si="15"/>
        <v>25142108</v>
      </c>
      <c r="AC50" s="2">
        <f t="shared" si="29"/>
        <v>0.50809563845955596</v>
      </c>
      <c r="AD50" s="1">
        <f t="shared" ca="1" si="16"/>
        <v>1.1744942112787974E-7</v>
      </c>
      <c r="AE50" s="1">
        <v>53</v>
      </c>
      <c r="AH50" s="1">
        <f t="shared" si="1"/>
        <v>44</v>
      </c>
      <c r="AI50" s="1">
        <f t="shared" ca="1" si="17"/>
        <v>91</v>
      </c>
      <c r="AJ50" t="s">
        <v>213</v>
      </c>
      <c r="AK50">
        <v>2990</v>
      </c>
      <c r="AL50">
        <v>1396736100</v>
      </c>
      <c r="AM50">
        <v>92806.270000000019</v>
      </c>
      <c r="AN50">
        <v>1435028217</v>
      </c>
      <c r="AO50">
        <v>42248</v>
      </c>
      <c r="AP50">
        <v>2940</v>
      </c>
      <c r="AQ50">
        <v>1470327900</v>
      </c>
      <c r="AR50">
        <v>93759.37000000001</v>
      </c>
      <c r="AS50">
        <v>1530591343</v>
      </c>
      <c r="AU50" s="1">
        <f t="shared" si="18"/>
        <v>49</v>
      </c>
      <c r="AV50" s="1">
        <f t="shared" ca="1" si="19"/>
        <v>87</v>
      </c>
      <c r="AW50" t="s">
        <v>26</v>
      </c>
      <c r="AX50">
        <v>597.80000000000007</v>
      </c>
      <c r="AY50">
        <v>597.79999999999995</v>
      </c>
      <c r="AZ50">
        <v>612.79999999999995</v>
      </c>
      <c r="BA50">
        <v>612.79999999999995</v>
      </c>
      <c r="BC50" s="1">
        <f t="shared" si="20"/>
        <v>54</v>
      </c>
      <c r="BD50" t="s">
        <v>62</v>
      </c>
      <c r="BE50">
        <v>3050887.2800000003</v>
      </c>
      <c r="BF50">
        <v>1687972</v>
      </c>
      <c r="BG50">
        <v>3488534.39</v>
      </c>
      <c r="BH50">
        <v>1931229</v>
      </c>
      <c r="BI50">
        <v>4079733.0099999988</v>
      </c>
      <c r="BJ50">
        <v>2257711</v>
      </c>
      <c r="BK50">
        <v>1541828.5499999998</v>
      </c>
      <c r="BL50">
        <v>863424</v>
      </c>
      <c r="BO50" s="1">
        <f t="shared" si="21"/>
        <v>53</v>
      </c>
      <c r="BP50" t="s">
        <v>38</v>
      </c>
      <c r="BQ50" s="106">
        <v>0.48</v>
      </c>
      <c r="BR50" s="106">
        <v>0.49</v>
      </c>
      <c r="BS50" s="106">
        <v>0.5</v>
      </c>
      <c r="BT50" s="106">
        <v>0.56000000000000005</v>
      </c>
      <c r="BU50" s="2">
        <f t="shared" ca="1" si="22"/>
        <v>0.51</v>
      </c>
      <c r="BV50" s="2"/>
      <c r="BW50" s="1" t="str">
        <f t="shared" si="23"/>
        <v>Tasman District</v>
      </c>
      <c r="BX50" s="107">
        <f t="shared" ca="1" si="24"/>
        <v>-1.1547344110844001E-4</v>
      </c>
      <c r="BY50" s="2">
        <f t="shared" ca="1" si="25"/>
        <v>0.1279637682531484</v>
      </c>
      <c r="BZ50" s="2">
        <f t="shared" ca="1" si="26"/>
        <v>3.5036117479129722E-3</v>
      </c>
    </row>
    <row r="51" spans="1:78" x14ac:dyDescent="0.25">
      <c r="A51">
        <v>54</v>
      </c>
      <c r="B51" t="s">
        <v>46</v>
      </c>
      <c r="C51" s="80">
        <v>2660</v>
      </c>
      <c r="D51" s="80">
        <f t="shared" ca="1" si="2"/>
        <v>2659.9</v>
      </c>
      <c r="E51" s="80">
        <v>15943150132</v>
      </c>
      <c r="F51" s="80">
        <f t="shared" ca="1" si="3"/>
        <v>17328651858.5</v>
      </c>
      <c r="G51" s="80">
        <v>15422</v>
      </c>
      <c r="H51" s="80">
        <f t="shared" ca="1" si="4"/>
        <v>15187</v>
      </c>
      <c r="I51" s="82">
        <v>954.60550559333183</v>
      </c>
      <c r="J51" s="80">
        <v>9427300</v>
      </c>
      <c r="K51" s="80">
        <v>4589634</v>
      </c>
      <c r="L51" s="80">
        <v>9528015</v>
      </c>
      <c r="M51" s="80">
        <v>4619509</v>
      </c>
      <c r="N51" s="80">
        <v>10287886</v>
      </c>
      <c r="O51" s="80">
        <v>5012370</v>
      </c>
      <c r="P51" s="80">
        <v>9732660</v>
      </c>
      <c r="Q51" s="80">
        <v>4539256</v>
      </c>
      <c r="R51" s="80">
        <f t="shared" ca="1" si="5"/>
        <v>9943095.5299999975</v>
      </c>
      <c r="S51" s="80">
        <f t="shared" ca="1" si="6"/>
        <v>4632838</v>
      </c>
      <c r="T51" s="80">
        <f t="shared" ca="1" si="7"/>
        <v>10317299.16</v>
      </c>
      <c r="U51" s="80">
        <f t="shared" ca="1" si="8"/>
        <v>4856583</v>
      </c>
      <c r="V51" s="80">
        <f t="shared" ca="1" si="9"/>
        <v>10034420.029999999</v>
      </c>
      <c r="W51" s="80">
        <f t="shared" ca="1" si="10"/>
        <v>4677285</v>
      </c>
      <c r="X51" s="80">
        <f t="shared" ca="1" si="11"/>
        <v>5368055.12</v>
      </c>
      <c r="Y51" s="80">
        <f t="shared" ca="1" si="12"/>
        <v>2630347</v>
      </c>
      <c r="Z51">
        <f t="shared" si="27"/>
        <v>38975861</v>
      </c>
      <c r="AA51">
        <f t="shared" si="28"/>
        <v>18760769</v>
      </c>
      <c r="AB51" s="3">
        <f t="shared" si="15"/>
        <v>20215092</v>
      </c>
      <c r="AC51" s="2">
        <f t="shared" si="29"/>
        <v>0.48134328578398822</v>
      </c>
      <c r="AD51" s="1">
        <f t="shared" ca="1" si="16"/>
        <v>1.5349722654248338E-7</v>
      </c>
      <c r="AE51" s="1">
        <v>91</v>
      </c>
      <c r="AH51" s="1">
        <f t="shared" si="1"/>
        <v>55</v>
      </c>
      <c r="AI51" s="1">
        <f t="shared" ca="1" si="17"/>
        <v>90</v>
      </c>
      <c r="AJ51" t="s">
        <v>214</v>
      </c>
      <c r="AK51">
        <v>7364</v>
      </c>
      <c r="AL51">
        <v>2467588525</v>
      </c>
      <c r="AM51">
        <v>121395.46999999999</v>
      </c>
      <c r="AN51">
        <v>2417738200</v>
      </c>
      <c r="AO51">
        <v>41518</v>
      </c>
      <c r="AP51">
        <v>7325</v>
      </c>
      <c r="AQ51">
        <v>2505012325</v>
      </c>
      <c r="AR51">
        <v>121364.40000000007</v>
      </c>
      <c r="AS51">
        <v>2222267566.25</v>
      </c>
      <c r="AU51" s="1">
        <f t="shared" si="18"/>
        <v>1</v>
      </c>
      <c r="AV51" s="1">
        <f t="shared" ca="1" si="19"/>
        <v>88</v>
      </c>
      <c r="AW51" t="s">
        <v>32</v>
      </c>
      <c r="AX51">
        <v>1956</v>
      </c>
      <c r="AY51">
        <v>1956.1999999999998</v>
      </c>
      <c r="AZ51">
        <v>1960.3</v>
      </c>
      <c r="BA51">
        <v>1960.3</v>
      </c>
      <c r="BC51" s="1">
        <f t="shared" si="20"/>
        <v>9</v>
      </c>
      <c r="BD51" t="s">
        <v>63</v>
      </c>
      <c r="BE51">
        <v>11413959.790000001</v>
      </c>
      <c r="BF51">
        <v>6773138</v>
      </c>
      <c r="BG51">
        <v>11130628.690000001</v>
      </c>
      <c r="BH51">
        <v>6669303</v>
      </c>
      <c r="BI51">
        <v>10860472.039999999</v>
      </c>
      <c r="BJ51">
        <v>6460095</v>
      </c>
      <c r="BK51">
        <v>4330326.91</v>
      </c>
      <c r="BL51">
        <v>2599914</v>
      </c>
      <c r="BO51" s="1">
        <f t="shared" si="21"/>
        <v>54</v>
      </c>
      <c r="BP51" t="s">
        <v>39</v>
      </c>
      <c r="BQ51" s="106">
        <v>0.52</v>
      </c>
      <c r="BR51" s="106">
        <v>0.52</v>
      </c>
      <c r="BS51" s="106">
        <v>0.52</v>
      </c>
      <c r="BT51" s="106">
        <v>0.52</v>
      </c>
      <c r="BU51" s="2">
        <f t="shared" ca="1" si="22"/>
        <v>0.51</v>
      </c>
      <c r="BV51" s="2"/>
      <c r="BW51" s="1" t="str">
        <f t="shared" si="23"/>
        <v>Ashburton District</v>
      </c>
      <c r="BX51" s="107">
        <f t="shared" ca="1" si="24"/>
        <v>-3.759398496237182E-5</v>
      </c>
      <c r="BY51" s="2">
        <f t="shared" ca="1" si="25"/>
        <v>8.690263310756359E-2</v>
      </c>
      <c r="BZ51" s="2">
        <f t="shared" ca="1" si="26"/>
        <v>-1.523797172869926E-2</v>
      </c>
    </row>
    <row r="52" spans="1:78" x14ac:dyDescent="0.25">
      <c r="A52">
        <v>56</v>
      </c>
      <c r="B52" t="s">
        <v>47</v>
      </c>
      <c r="C52" s="80">
        <v>2333</v>
      </c>
      <c r="D52" s="80">
        <f t="shared" ca="1" si="2"/>
        <v>2332.4</v>
      </c>
      <c r="E52" s="80">
        <v>91141124879</v>
      </c>
      <c r="F52" s="80">
        <f t="shared" ca="1" si="3"/>
        <v>101295876440</v>
      </c>
      <c r="G52" s="80">
        <v>165260</v>
      </c>
      <c r="H52" s="80">
        <f t="shared" ca="1" si="4"/>
        <v>169606</v>
      </c>
      <c r="I52" s="82">
        <v>985.0772864148671</v>
      </c>
      <c r="J52" s="80">
        <v>54049307</v>
      </c>
      <c r="K52" s="80">
        <v>25458937</v>
      </c>
      <c r="L52" s="80">
        <v>32582886</v>
      </c>
      <c r="M52" s="80">
        <v>15402965</v>
      </c>
      <c r="N52" s="80">
        <v>43257184</v>
      </c>
      <c r="O52" s="80">
        <v>20167728</v>
      </c>
      <c r="P52" s="80">
        <v>52645812</v>
      </c>
      <c r="Q52" s="80">
        <v>24819500</v>
      </c>
      <c r="R52" s="80">
        <f t="shared" ca="1" si="5"/>
        <v>158370046.23999998</v>
      </c>
      <c r="S52" s="80">
        <f t="shared" ca="1" si="6"/>
        <v>112131751</v>
      </c>
      <c r="T52" s="80">
        <f t="shared" ca="1" si="7"/>
        <v>156214144.28999999</v>
      </c>
      <c r="U52" s="80">
        <f t="shared" ca="1" si="8"/>
        <v>113645850</v>
      </c>
      <c r="V52" s="80">
        <f t="shared" ca="1" si="9"/>
        <v>106040508.64</v>
      </c>
      <c r="W52" s="80">
        <f t="shared" ca="1" si="10"/>
        <v>70729256</v>
      </c>
      <c r="X52" s="80">
        <f t="shared" ca="1" si="11"/>
        <v>77724360.739999995</v>
      </c>
      <c r="Y52" s="80">
        <f t="shared" ca="1" si="12"/>
        <v>54845807</v>
      </c>
      <c r="Z52">
        <f t="shared" si="27"/>
        <v>182535189</v>
      </c>
      <c r="AA52">
        <f t="shared" si="28"/>
        <v>85849130</v>
      </c>
      <c r="AB52" s="3">
        <f t="shared" si="15"/>
        <v>96686059</v>
      </c>
      <c r="AC52" s="2">
        <f t="shared" si="29"/>
        <v>0.47031550721981613</v>
      </c>
      <c r="AD52" s="1">
        <f t="shared" ca="1" si="16"/>
        <v>2.3025616461115641E-8</v>
      </c>
      <c r="AE52" s="1">
        <v>91</v>
      </c>
      <c r="AH52" s="1">
        <f t="shared" si="1"/>
        <v>53</v>
      </c>
      <c r="AI52" s="1">
        <f t="shared" ca="1" si="17"/>
        <v>90</v>
      </c>
      <c r="AJ52" t="s">
        <v>215</v>
      </c>
      <c r="AK52">
        <v>8549</v>
      </c>
      <c r="AL52">
        <v>2642928050</v>
      </c>
      <c r="AM52">
        <v>103905.14999999997</v>
      </c>
      <c r="AN52">
        <v>2623147630</v>
      </c>
      <c r="AO52">
        <v>42248</v>
      </c>
      <c r="AP52">
        <v>8494</v>
      </c>
      <c r="AQ52">
        <v>2630198750</v>
      </c>
      <c r="AR52">
        <v>102810.91000000003</v>
      </c>
      <c r="AS52">
        <v>2569982189</v>
      </c>
      <c r="AU52" s="1">
        <f t="shared" si="18"/>
        <v>8</v>
      </c>
      <c r="AV52" s="1">
        <f t="shared" ca="1" si="19"/>
        <v>53</v>
      </c>
      <c r="AW52" t="s">
        <v>45</v>
      </c>
      <c r="AX52">
        <v>1731.8000000000002</v>
      </c>
      <c r="AY52">
        <v>1741.1999999999998</v>
      </c>
      <c r="AZ52">
        <v>1736.5</v>
      </c>
      <c r="BA52">
        <v>1759.5</v>
      </c>
      <c r="BC52" s="1">
        <f t="shared" si="20"/>
        <v>10</v>
      </c>
      <c r="BD52" t="s">
        <v>64</v>
      </c>
      <c r="BE52">
        <v>21756852.710000001</v>
      </c>
      <c r="BF52">
        <v>11649928</v>
      </c>
      <c r="BG52">
        <v>23818073.970000003</v>
      </c>
      <c r="BH52">
        <v>12739540</v>
      </c>
      <c r="BI52">
        <v>26179373.470000006</v>
      </c>
      <c r="BJ52">
        <v>14091949</v>
      </c>
      <c r="BK52">
        <v>10681944.449999997</v>
      </c>
      <c r="BL52">
        <v>5768250</v>
      </c>
      <c r="BO52" s="1">
        <f t="shared" si="21"/>
        <v>55</v>
      </c>
      <c r="BP52" t="s">
        <v>40</v>
      </c>
      <c r="BQ52" s="106">
        <v>0.51</v>
      </c>
      <c r="BR52" s="106">
        <v>0.51</v>
      </c>
      <c r="BS52" s="106">
        <v>0.51</v>
      </c>
      <c r="BT52" s="106">
        <v>0.51</v>
      </c>
      <c r="BU52" s="2">
        <f t="shared" ca="1" si="22"/>
        <v>0.51</v>
      </c>
      <c r="BV52" s="2"/>
      <c r="BW52" s="1" t="str">
        <f t="shared" si="23"/>
        <v>Christchurch City</v>
      </c>
      <c r="BX52" s="107">
        <f t="shared" ca="1" si="24"/>
        <v>-2.5717959708525891E-4</v>
      </c>
      <c r="BY52" s="2">
        <f t="shared" ca="1" si="25"/>
        <v>0.11141788708973654</v>
      </c>
      <c r="BZ52" s="2">
        <f t="shared" ca="1" si="26"/>
        <v>2.6297954737988623E-2</v>
      </c>
    </row>
    <row r="53" spans="1:78" x14ac:dyDescent="0.25">
      <c r="A53">
        <v>57</v>
      </c>
      <c r="B53" t="s">
        <v>48</v>
      </c>
      <c r="C53" s="80">
        <v>1456</v>
      </c>
      <c r="D53" s="80">
        <f t="shared" ca="1" si="2"/>
        <v>1456.6999999999998</v>
      </c>
      <c r="E53" s="80">
        <v>6075627207</v>
      </c>
      <c r="F53" s="80">
        <f t="shared" ca="1" si="3"/>
        <v>6782478160</v>
      </c>
      <c r="G53" s="80">
        <v>8003</v>
      </c>
      <c r="H53" s="80">
        <f t="shared" ca="1" si="4"/>
        <v>7887</v>
      </c>
      <c r="I53" s="82">
        <v>950.8275493860117</v>
      </c>
      <c r="J53" s="80">
        <v>6054273</v>
      </c>
      <c r="K53" s="80">
        <v>3191486</v>
      </c>
      <c r="L53" s="80">
        <v>6593343</v>
      </c>
      <c r="M53" s="80">
        <v>3590903</v>
      </c>
      <c r="N53" s="80">
        <v>6761148</v>
      </c>
      <c r="O53" s="80">
        <v>3503889</v>
      </c>
      <c r="P53" s="80">
        <v>5968116</v>
      </c>
      <c r="Q53" s="80">
        <v>3034222</v>
      </c>
      <c r="R53" s="80">
        <f t="shared" ca="1" si="5"/>
        <v>6378045.8900000006</v>
      </c>
      <c r="S53" s="80">
        <f t="shared" ca="1" si="6"/>
        <v>3205036</v>
      </c>
      <c r="T53" s="80">
        <f t="shared" ca="1" si="7"/>
        <v>7512269.5300000003</v>
      </c>
      <c r="U53" s="80">
        <f t="shared" ca="1" si="8"/>
        <v>4201314</v>
      </c>
      <c r="V53" s="80">
        <f t="shared" ca="1" si="9"/>
        <v>8222191.5199999996</v>
      </c>
      <c r="W53" s="80">
        <f t="shared" ca="1" si="10"/>
        <v>4286976</v>
      </c>
      <c r="X53" s="80">
        <f t="shared" ca="1" si="11"/>
        <v>2605028.86</v>
      </c>
      <c r="Y53" s="80">
        <f t="shared" ca="1" si="12"/>
        <v>1354615</v>
      </c>
      <c r="Z53">
        <f t="shared" si="27"/>
        <v>25376880</v>
      </c>
      <c r="AA53">
        <f t="shared" si="28"/>
        <v>13320500</v>
      </c>
      <c r="AB53" s="3">
        <f t="shared" si="15"/>
        <v>12056380</v>
      </c>
      <c r="AC53" s="2">
        <f t="shared" si="29"/>
        <v>0.52490692315209753</v>
      </c>
      <c r="AD53" s="1">
        <f t="shared" ca="1" si="16"/>
        <v>2.1477400525827862E-7</v>
      </c>
      <c r="AE53" s="1">
        <v>91</v>
      </c>
      <c r="AH53" s="1">
        <f t="shared" si="1"/>
        <v>51</v>
      </c>
      <c r="AI53" s="1">
        <f t="shared" ca="1" si="17"/>
        <v>90</v>
      </c>
      <c r="AJ53" t="s">
        <v>216</v>
      </c>
      <c r="AK53">
        <v>6497</v>
      </c>
      <c r="AL53">
        <v>2390054900</v>
      </c>
      <c r="AM53">
        <v>137394.58699999991</v>
      </c>
      <c r="AN53">
        <v>2364564465</v>
      </c>
      <c r="AO53">
        <v>41883</v>
      </c>
      <c r="AP53">
        <v>6558</v>
      </c>
      <c r="AQ53">
        <v>2412264100</v>
      </c>
      <c r="AR53">
        <v>137978.35700000008</v>
      </c>
      <c r="AS53">
        <v>2349422142</v>
      </c>
      <c r="AU53" s="1">
        <f t="shared" si="18"/>
        <v>19</v>
      </c>
      <c r="AV53" s="1">
        <f t="shared" ca="1" si="19"/>
        <v>83</v>
      </c>
      <c r="AW53" t="s">
        <v>9</v>
      </c>
      <c r="AX53">
        <v>761.30000000000007</v>
      </c>
      <c r="AY53">
        <v>763.2</v>
      </c>
      <c r="AZ53">
        <v>763.7</v>
      </c>
      <c r="BA53">
        <v>780.40000000000009</v>
      </c>
      <c r="BC53" s="1">
        <f t="shared" si="20"/>
        <v>12</v>
      </c>
      <c r="BD53" t="s">
        <v>24</v>
      </c>
      <c r="BE53">
        <v>15349609.060000001</v>
      </c>
      <c r="BF53">
        <v>7994832</v>
      </c>
      <c r="BG53">
        <v>16717509.26</v>
      </c>
      <c r="BH53">
        <v>8567629</v>
      </c>
      <c r="BI53">
        <v>14956482.370000001</v>
      </c>
      <c r="BJ53">
        <v>7695583</v>
      </c>
      <c r="BK53">
        <v>5228057.7000000011</v>
      </c>
      <c r="BL53">
        <v>2718590</v>
      </c>
      <c r="BO53" s="1">
        <f t="shared" si="21"/>
        <v>57</v>
      </c>
      <c r="BP53" t="s">
        <v>41</v>
      </c>
      <c r="BQ53" s="106">
        <v>0.48</v>
      </c>
      <c r="BR53" s="106">
        <v>0.49</v>
      </c>
      <c r="BS53" s="106">
        <v>0.5</v>
      </c>
      <c r="BT53" s="106">
        <v>0.51</v>
      </c>
      <c r="BU53" s="2">
        <f t="shared" ca="1" si="22"/>
        <v>0.51</v>
      </c>
      <c r="BV53" s="2"/>
      <c r="BW53" s="1" t="str">
        <f t="shared" si="23"/>
        <v>Hurunui District</v>
      </c>
      <c r="BX53" s="107">
        <f t="shared" ca="1" si="24"/>
        <v>4.8076923076910584E-4</v>
      </c>
      <c r="BY53" s="2">
        <f t="shared" ca="1" si="25"/>
        <v>0.11634205472409591</v>
      </c>
      <c r="BZ53" s="2">
        <f t="shared" ca="1" si="26"/>
        <v>-1.4494564538298138E-2</v>
      </c>
    </row>
    <row r="54" spans="1:78" x14ac:dyDescent="0.25">
      <c r="A54">
        <v>58</v>
      </c>
      <c r="B54" t="s">
        <v>49</v>
      </c>
      <c r="C54" s="80">
        <v>712</v>
      </c>
      <c r="D54" s="80">
        <f t="shared" ca="1" si="2"/>
        <v>713</v>
      </c>
      <c r="E54" s="80">
        <v>3121399123</v>
      </c>
      <c r="F54" s="80">
        <f t="shared" ca="1" si="3"/>
        <v>3627459375.5</v>
      </c>
      <c r="G54" s="80">
        <v>4383</v>
      </c>
      <c r="H54" s="80">
        <f t="shared" ca="1" si="4"/>
        <v>4422</v>
      </c>
      <c r="I54" s="82">
        <v>954.9023255813953</v>
      </c>
      <c r="J54" s="80">
        <v>2325208</v>
      </c>
      <c r="K54" s="80">
        <v>1272647</v>
      </c>
      <c r="L54" s="80">
        <v>2420667</v>
      </c>
      <c r="M54" s="80">
        <v>1325767</v>
      </c>
      <c r="N54" s="80">
        <v>2772502</v>
      </c>
      <c r="O54" s="80">
        <v>1525862</v>
      </c>
      <c r="P54" s="80">
        <v>2600676</v>
      </c>
      <c r="Q54" s="80">
        <v>1395859</v>
      </c>
      <c r="R54" s="80">
        <f t="shared" ca="1" si="5"/>
        <v>3867776.92</v>
      </c>
      <c r="S54" s="80">
        <f t="shared" ca="1" si="6"/>
        <v>2442479</v>
      </c>
      <c r="T54" s="80">
        <f t="shared" ca="1" si="7"/>
        <v>3208451.49</v>
      </c>
      <c r="U54" s="80">
        <f t="shared" ca="1" si="8"/>
        <v>1837580</v>
      </c>
      <c r="V54" s="80">
        <f t="shared" ca="1" si="9"/>
        <v>3820837.6599999997</v>
      </c>
      <c r="W54" s="80">
        <f t="shared" ca="1" si="10"/>
        <v>2151307</v>
      </c>
      <c r="X54" s="80">
        <f t="shared" ca="1" si="11"/>
        <v>1665040.7299999995</v>
      </c>
      <c r="Y54" s="80">
        <f t="shared" ca="1" si="12"/>
        <v>899122</v>
      </c>
      <c r="Z54">
        <f t="shared" si="27"/>
        <v>10119053</v>
      </c>
      <c r="AA54">
        <f t="shared" si="28"/>
        <v>5520135</v>
      </c>
      <c r="AB54" s="3">
        <f t="shared" si="15"/>
        <v>4598918</v>
      </c>
      <c r="AC54" s="2">
        <f t="shared" si="29"/>
        <v>0.54551893344169655</v>
      </c>
      <c r="AD54" s="1">
        <f t="shared" ca="1" si="16"/>
        <v>1.9655630186119503E-7</v>
      </c>
      <c r="AE54" s="1">
        <v>91</v>
      </c>
      <c r="AH54" s="1">
        <f t="shared" si="1"/>
        <v>57</v>
      </c>
      <c r="AI54" s="1">
        <f t="shared" ca="1" si="17"/>
        <v>91</v>
      </c>
      <c r="AJ54" t="s">
        <v>217</v>
      </c>
      <c r="AK54">
        <v>8003</v>
      </c>
      <c r="AL54">
        <v>5716384650</v>
      </c>
      <c r="AM54">
        <v>626593.3900000006</v>
      </c>
      <c r="AN54">
        <v>6075627206.5</v>
      </c>
      <c r="AO54">
        <v>41518</v>
      </c>
      <c r="AP54">
        <v>7887</v>
      </c>
      <c r="AQ54">
        <v>6782478160</v>
      </c>
      <c r="AR54">
        <v>622713.81000000029</v>
      </c>
      <c r="AS54">
        <v>6782478160</v>
      </c>
      <c r="AU54" s="1">
        <f t="shared" si="18"/>
        <v>26</v>
      </c>
      <c r="AV54" s="1">
        <f t="shared" ca="1" si="19"/>
        <v>84</v>
      </c>
      <c r="AW54" t="s">
        <v>17</v>
      </c>
      <c r="AX54">
        <v>536</v>
      </c>
      <c r="AY54">
        <v>541.79999999999995</v>
      </c>
      <c r="AZ54">
        <v>546.20000000000005</v>
      </c>
      <c r="BA54">
        <v>552.5</v>
      </c>
      <c r="BC54" s="1">
        <f t="shared" si="20"/>
        <v>14</v>
      </c>
      <c r="BD54" t="s">
        <v>25</v>
      </c>
      <c r="BE54">
        <v>12660004.789999999</v>
      </c>
      <c r="BF54">
        <v>6542754</v>
      </c>
      <c r="BG54">
        <v>13056251.810000001</v>
      </c>
      <c r="BH54">
        <v>6749114</v>
      </c>
      <c r="BI54">
        <v>13130237.029999997</v>
      </c>
      <c r="BJ54">
        <v>6814856</v>
      </c>
      <c r="BK54">
        <v>6445479.6699999999</v>
      </c>
      <c r="BL54">
        <v>3485112</v>
      </c>
      <c r="BO54" s="1">
        <f t="shared" si="21"/>
        <v>59</v>
      </c>
      <c r="BP54" t="s">
        <v>44</v>
      </c>
      <c r="BQ54" s="106">
        <v>0.47</v>
      </c>
      <c r="BR54" s="106">
        <v>0.48</v>
      </c>
      <c r="BS54" s="106">
        <v>0.49</v>
      </c>
      <c r="BT54" s="106">
        <v>0.51</v>
      </c>
      <c r="BU54" s="2">
        <f t="shared" ca="1" si="22"/>
        <v>0.51</v>
      </c>
      <c r="BV54" s="2"/>
      <c r="BW54" s="1" t="str">
        <f t="shared" si="23"/>
        <v>Mackenzie District</v>
      </c>
      <c r="BX54" s="107">
        <f t="shared" ca="1" si="24"/>
        <v>1.4044943820224719E-3</v>
      </c>
      <c r="BY54" s="2">
        <f t="shared" ca="1" si="25"/>
        <v>0.1621260955611539</v>
      </c>
      <c r="BZ54" s="2">
        <f t="shared" ca="1" si="26"/>
        <v>8.8980150581793298E-3</v>
      </c>
    </row>
    <row r="55" spans="1:78" x14ac:dyDescent="0.25">
      <c r="A55">
        <v>59</v>
      </c>
      <c r="B55" t="s">
        <v>50</v>
      </c>
      <c r="C55" s="80">
        <v>2492</v>
      </c>
      <c r="D55" s="80">
        <f t="shared" ca="1" si="2"/>
        <v>2491.8000000000002</v>
      </c>
      <c r="E55" s="80">
        <v>17491006133</v>
      </c>
      <c r="F55" s="80">
        <f t="shared" ca="1" si="3"/>
        <v>20218384672</v>
      </c>
      <c r="G55" s="80">
        <v>21470</v>
      </c>
      <c r="H55" s="80">
        <f t="shared" ca="1" si="4"/>
        <v>23772</v>
      </c>
      <c r="I55" s="82">
        <v>920.07287117903934</v>
      </c>
      <c r="J55" s="80">
        <v>8765662</v>
      </c>
      <c r="K55" s="80">
        <v>4359430</v>
      </c>
      <c r="L55" s="80">
        <v>10150938</v>
      </c>
      <c r="M55" s="80">
        <v>5112567</v>
      </c>
      <c r="N55" s="80">
        <v>10434517</v>
      </c>
      <c r="O55" s="80">
        <v>5377312</v>
      </c>
      <c r="P55" s="80">
        <v>9195289</v>
      </c>
      <c r="Q55" s="80">
        <v>4430851</v>
      </c>
      <c r="R55" s="80">
        <f t="shared" ca="1" si="5"/>
        <v>9563936.5600000005</v>
      </c>
      <c r="S55" s="80">
        <f t="shared" ca="1" si="6"/>
        <v>4585957</v>
      </c>
      <c r="T55" s="80">
        <f t="shared" ca="1" si="7"/>
        <v>9525353.120000001</v>
      </c>
      <c r="U55" s="80">
        <f t="shared" ca="1" si="8"/>
        <v>4558034</v>
      </c>
      <c r="V55" s="80">
        <f t="shared" ca="1" si="9"/>
        <v>10531246.760000004</v>
      </c>
      <c r="W55" s="80">
        <f t="shared" ca="1" si="10"/>
        <v>5024452</v>
      </c>
      <c r="X55" s="80">
        <f t="shared" ca="1" si="11"/>
        <v>5174637.25</v>
      </c>
      <c r="Y55" s="80">
        <f t="shared" ca="1" si="12"/>
        <v>2639065</v>
      </c>
      <c r="Z55">
        <f t="shared" si="27"/>
        <v>38546406</v>
      </c>
      <c r="AA55">
        <f t="shared" si="28"/>
        <v>19280160</v>
      </c>
      <c r="AB55" s="3">
        <f t="shared" si="15"/>
        <v>19266246</v>
      </c>
      <c r="AC55" s="2">
        <f t="shared" si="29"/>
        <v>0.50018048375249302</v>
      </c>
      <c r="AD55" s="1">
        <f t="shared" ca="1" si="16"/>
        <v>1.2324426705813148E-7</v>
      </c>
      <c r="AE55" s="1">
        <v>91</v>
      </c>
      <c r="AH55" s="1">
        <f t="shared" si="1"/>
        <v>54</v>
      </c>
      <c r="AI55" s="1">
        <f t="shared" ca="1" si="17"/>
        <v>91</v>
      </c>
      <c r="AJ55" t="s">
        <v>218</v>
      </c>
      <c r="AK55">
        <v>23770</v>
      </c>
      <c r="AL55">
        <v>12867087650</v>
      </c>
      <c r="AM55">
        <v>172984.34000000011</v>
      </c>
      <c r="AN55">
        <v>13371303492.5</v>
      </c>
      <c r="AO55">
        <v>41487</v>
      </c>
      <c r="AP55">
        <v>24929</v>
      </c>
      <c r="AQ55">
        <v>15265172200</v>
      </c>
      <c r="AR55">
        <v>173084.82000000007</v>
      </c>
      <c r="AS55">
        <v>15265172200</v>
      </c>
      <c r="AU55" s="1">
        <f t="shared" si="18"/>
        <v>42</v>
      </c>
      <c r="AV55" s="1">
        <f t="shared" ca="1" si="19"/>
        <v>83</v>
      </c>
      <c r="AW55" t="s">
        <v>10</v>
      </c>
      <c r="AX55">
        <v>685.59999999999991</v>
      </c>
      <c r="AY55">
        <v>686.1</v>
      </c>
      <c r="AZ55">
        <v>693.9</v>
      </c>
      <c r="BA55">
        <v>694.8</v>
      </c>
      <c r="BC55" s="1">
        <f t="shared" si="20"/>
        <v>15</v>
      </c>
      <c r="BD55" t="s">
        <v>26</v>
      </c>
      <c r="BE55">
        <v>4261296.92</v>
      </c>
      <c r="BF55">
        <v>2241738</v>
      </c>
      <c r="BG55">
        <v>4989045.08</v>
      </c>
      <c r="BH55">
        <v>2673862</v>
      </c>
      <c r="BI55">
        <v>5688686.71</v>
      </c>
      <c r="BJ55">
        <v>2993410</v>
      </c>
      <c r="BK55">
        <v>2342700.15</v>
      </c>
      <c r="BL55">
        <v>1298536</v>
      </c>
      <c r="BO55" s="1">
        <f t="shared" si="21"/>
        <v>60</v>
      </c>
      <c r="BP55" t="s">
        <v>43</v>
      </c>
      <c r="BQ55" s="106">
        <v>0.5</v>
      </c>
      <c r="BR55" s="106">
        <v>0.51</v>
      </c>
      <c r="BS55" s="106">
        <v>0.51</v>
      </c>
      <c r="BT55" s="106">
        <v>0.51</v>
      </c>
      <c r="BU55" s="2">
        <f t="shared" ca="1" si="22"/>
        <v>0.51</v>
      </c>
      <c r="BV55" s="2"/>
      <c r="BW55" s="1" t="str">
        <f t="shared" si="23"/>
        <v>Selwyn District</v>
      </c>
      <c r="BX55" s="107">
        <f t="shared" ca="1" si="24"/>
        <v>-8.0256821829782543E-5</v>
      </c>
      <c r="BY55" s="2">
        <f t="shared" ca="1" si="25"/>
        <v>0.15593034032812433</v>
      </c>
      <c r="BZ55" s="2">
        <f t="shared" ca="1" si="26"/>
        <v>0.1072193758733116</v>
      </c>
    </row>
    <row r="56" spans="1:78" x14ac:dyDescent="0.25">
      <c r="A56">
        <v>60</v>
      </c>
      <c r="B56" t="s">
        <v>51</v>
      </c>
      <c r="C56" s="80">
        <v>1716</v>
      </c>
      <c r="D56" s="80">
        <f t="shared" ca="1" si="2"/>
        <v>1716.1999999999998</v>
      </c>
      <c r="E56" s="80">
        <v>10890243343</v>
      </c>
      <c r="F56" s="80">
        <f t="shared" ca="1" si="3"/>
        <v>12799769366.5</v>
      </c>
      <c r="G56" s="80">
        <v>21765</v>
      </c>
      <c r="H56" s="80">
        <f t="shared" ca="1" si="4"/>
        <v>21951</v>
      </c>
      <c r="I56" s="82">
        <v>975.74330466400954</v>
      </c>
      <c r="J56" s="80">
        <v>11174750</v>
      </c>
      <c r="K56" s="80">
        <v>5958297</v>
      </c>
      <c r="L56" s="80">
        <v>10408609</v>
      </c>
      <c r="M56" s="80">
        <v>5536237</v>
      </c>
      <c r="N56" s="80">
        <v>12540538</v>
      </c>
      <c r="O56" s="80">
        <v>6698993</v>
      </c>
      <c r="P56" s="80">
        <v>11507847</v>
      </c>
      <c r="Q56" s="80">
        <v>6327461</v>
      </c>
      <c r="R56" s="80">
        <f t="shared" ca="1" si="5"/>
        <v>12894797.699999997</v>
      </c>
      <c r="S56" s="80">
        <f t="shared" ca="1" si="6"/>
        <v>7061019</v>
      </c>
      <c r="T56" s="80">
        <f t="shared" ca="1" si="7"/>
        <v>14081016.480000002</v>
      </c>
      <c r="U56" s="80">
        <f t="shared" ca="1" si="8"/>
        <v>7715867</v>
      </c>
      <c r="V56" s="80">
        <f t="shared" ca="1" si="9"/>
        <v>15162225.929999998</v>
      </c>
      <c r="W56" s="80">
        <f t="shared" ca="1" si="10"/>
        <v>8415417</v>
      </c>
      <c r="X56" s="80">
        <f t="shared" ca="1" si="11"/>
        <v>7254576.1899999995</v>
      </c>
      <c r="Y56" s="80">
        <f t="shared" ca="1" si="12"/>
        <v>3990279</v>
      </c>
      <c r="Z56">
        <f t="shared" si="27"/>
        <v>45631744</v>
      </c>
      <c r="AA56">
        <f t="shared" si="28"/>
        <v>24520988</v>
      </c>
      <c r="AB56" s="3">
        <f t="shared" si="15"/>
        <v>21110756</v>
      </c>
      <c r="AC56" s="2">
        <f t="shared" si="29"/>
        <v>0.53736688214239636</v>
      </c>
      <c r="AD56" s="1">
        <f t="shared" ca="1" si="16"/>
        <v>1.3408054089565848E-7</v>
      </c>
      <c r="AE56" s="1">
        <v>91</v>
      </c>
      <c r="AH56" s="1">
        <f t="shared" si="1"/>
        <v>56</v>
      </c>
      <c r="AI56" s="1">
        <f t="shared" ca="1" si="17"/>
        <v>91</v>
      </c>
      <c r="AJ56" t="s">
        <v>219</v>
      </c>
      <c r="AK56">
        <v>165260</v>
      </c>
      <c r="AL56">
        <v>88472263260</v>
      </c>
      <c r="AM56">
        <v>149217.77059999996</v>
      </c>
      <c r="AN56">
        <v>91141124878.600006</v>
      </c>
      <c r="AO56">
        <v>41487</v>
      </c>
      <c r="AP56">
        <v>169606</v>
      </c>
      <c r="AQ56">
        <v>101295876440</v>
      </c>
      <c r="AR56">
        <v>149808.64099999986</v>
      </c>
      <c r="AS56">
        <v>101295876440</v>
      </c>
      <c r="AU56" s="1">
        <f t="shared" si="18"/>
        <v>53</v>
      </c>
      <c r="AV56" s="1">
        <f t="shared" ca="1" si="19"/>
        <v>91</v>
      </c>
      <c r="AW56" t="s">
        <v>51</v>
      </c>
      <c r="AX56">
        <v>1716.1999999999998</v>
      </c>
      <c r="AY56">
        <v>1713.3000000000002</v>
      </c>
      <c r="AZ56">
        <v>1715.1000000000001</v>
      </c>
      <c r="BA56">
        <v>1718.1999999999998</v>
      </c>
      <c r="BC56" s="1">
        <f t="shared" si="20"/>
        <v>16</v>
      </c>
      <c r="BD56" t="s">
        <v>70</v>
      </c>
      <c r="BE56">
        <v>2319181.44</v>
      </c>
      <c r="BF56">
        <v>1221148</v>
      </c>
      <c r="BG56">
        <v>2492211.63</v>
      </c>
      <c r="BH56">
        <v>1313003</v>
      </c>
      <c r="BI56">
        <v>2640182.2599999998</v>
      </c>
      <c r="BJ56">
        <v>1394303</v>
      </c>
      <c r="BK56">
        <v>900327.82000000007</v>
      </c>
      <c r="BL56">
        <v>479527</v>
      </c>
      <c r="BO56" s="1">
        <f t="shared" si="21"/>
        <v>61</v>
      </c>
      <c r="BP56" t="s">
        <v>45</v>
      </c>
      <c r="BQ56" s="106">
        <v>0.52</v>
      </c>
      <c r="BR56" s="106">
        <v>0.51</v>
      </c>
      <c r="BS56" s="106">
        <v>0.51</v>
      </c>
      <c r="BT56" s="106">
        <v>0.51</v>
      </c>
      <c r="BU56" s="2">
        <f t="shared" ca="1" si="22"/>
        <v>0.51</v>
      </c>
      <c r="BV56" s="2"/>
      <c r="BW56" s="1" t="str">
        <f t="shared" si="23"/>
        <v>Timaru District</v>
      </c>
      <c r="BX56" s="107">
        <f t="shared" ca="1" si="24"/>
        <v>1.1655011655001054E-4</v>
      </c>
      <c r="BY56" s="2">
        <f t="shared" ca="1" si="25"/>
        <v>0.17534282415529306</v>
      </c>
      <c r="BZ56" s="2">
        <f t="shared" ca="1" si="26"/>
        <v>8.5458304617505171E-3</v>
      </c>
    </row>
    <row r="57" spans="1:78" x14ac:dyDescent="0.25">
      <c r="A57">
        <v>61</v>
      </c>
      <c r="B57" t="s">
        <v>52</v>
      </c>
      <c r="C57" s="80">
        <v>1534</v>
      </c>
      <c r="D57" s="80">
        <f t="shared" ca="1" si="2"/>
        <v>1533.9</v>
      </c>
      <c r="E57" s="80">
        <v>13371303493</v>
      </c>
      <c r="F57" s="80">
        <f t="shared" ca="1" si="3"/>
        <v>15265172200</v>
      </c>
      <c r="G57" s="80">
        <v>23770</v>
      </c>
      <c r="H57" s="80">
        <f t="shared" ca="1" si="4"/>
        <v>24929</v>
      </c>
      <c r="I57" s="82">
        <v>946.69026107988907</v>
      </c>
      <c r="J57" s="80">
        <v>8373130</v>
      </c>
      <c r="K57" s="80">
        <v>4209907</v>
      </c>
      <c r="L57" s="80">
        <v>7721833</v>
      </c>
      <c r="M57" s="80">
        <v>3882965</v>
      </c>
      <c r="N57" s="80">
        <v>10474753</v>
      </c>
      <c r="O57" s="80">
        <v>5303157</v>
      </c>
      <c r="P57" s="80">
        <v>8176824</v>
      </c>
      <c r="Q57" s="80">
        <v>4145969</v>
      </c>
      <c r="R57" s="80">
        <f t="shared" ca="1" si="5"/>
        <v>10506261.99</v>
      </c>
      <c r="S57" s="80">
        <f t="shared" ca="1" si="6"/>
        <v>5446938</v>
      </c>
      <c r="T57" s="80">
        <f t="shared" ca="1" si="7"/>
        <v>13344945.27</v>
      </c>
      <c r="U57" s="80">
        <f t="shared" ca="1" si="8"/>
        <v>7193394</v>
      </c>
      <c r="V57" s="80">
        <f t="shared" ca="1" si="9"/>
        <v>20930264.329999998</v>
      </c>
      <c r="W57" s="80">
        <f t="shared" ca="1" si="10"/>
        <v>11751850</v>
      </c>
      <c r="X57" s="80">
        <f t="shared" ca="1" si="11"/>
        <v>5471981.5300000012</v>
      </c>
      <c r="Y57" s="80">
        <f t="shared" ca="1" si="12"/>
        <v>2859098</v>
      </c>
      <c r="Z57">
        <f t="shared" si="27"/>
        <v>34746540</v>
      </c>
      <c r="AA57">
        <f t="shared" si="28"/>
        <v>17541998</v>
      </c>
      <c r="AB57" s="3">
        <f t="shared" si="15"/>
        <v>17204542</v>
      </c>
      <c r="AC57" s="2">
        <f t="shared" si="29"/>
        <v>0.5048559655148398</v>
      </c>
      <c r="AD57" s="1">
        <f t="shared" ca="1" si="16"/>
        <v>1.0048363555309256E-7</v>
      </c>
      <c r="AE57" s="1">
        <v>91</v>
      </c>
      <c r="AH57" s="1">
        <f t="shared" si="1"/>
        <v>52</v>
      </c>
      <c r="AI57" s="1">
        <f t="shared" ca="1" si="17"/>
        <v>91</v>
      </c>
      <c r="AJ57" t="s">
        <v>220</v>
      </c>
      <c r="AK57">
        <v>21470</v>
      </c>
      <c r="AL57">
        <v>14467302250</v>
      </c>
      <c r="AM57">
        <v>392154.07070000027</v>
      </c>
      <c r="AN57">
        <v>17491006132.5</v>
      </c>
      <c r="AO57">
        <v>42186</v>
      </c>
      <c r="AP57">
        <v>23772</v>
      </c>
      <c r="AQ57">
        <v>19490001400</v>
      </c>
      <c r="AR57">
        <v>394098.87330000015</v>
      </c>
      <c r="AS57">
        <v>20218384672</v>
      </c>
      <c r="AU57" s="1">
        <f t="shared" si="18"/>
        <v>56</v>
      </c>
      <c r="AV57" s="1">
        <f t="shared" ca="1" si="19"/>
        <v>89</v>
      </c>
      <c r="AW57" t="s">
        <v>40</v>
      </c>
      <c r="AX57">
        <v>238.3</v>
      </c>
      <c r="AY57">
        <v>238.90000000000003</v>
      </c>
      <c r="AZ57">
        <v>240</v>
      </c>
      <c r="BA57">
        <v>241.59999999999997</v>
      </c>
      <c r="BC57" s="1">
        <f t="shared" si="20"/>
        <v>17</v>
      </c>
      <c r="BD57" t="s">
        <v>45</v>
      </c>
      <c r="BE57">
        <v>15115546.439999999</v>
      </c>
      <c r="BF57">
        <v>7674382</v>
      </c>
      <c r="BG57">
        <v>18182214.740000002</v>
      </c>
      <c r="BH57">
        <v>9643130</v>
      </c>
      <c r="BI57">
        <v>15363229.610000001</v>
      </c>
      <c r="BJ57">
        <v>7814892</v>
      </c>
      <c r="BK57">
        <v>4965623.71</v>
      </c>
      <c r="BL57">
        <v>2585487</v>
      </c>
      <c r="BO57" s="1">
        <f t="shared" si="21"/>
        <v>62</v>
      </c>
      <c r="BP57" t="s">
        <v>46</v>
      </c>
      <c r="BQ57" s="106">
        <v>0.49</v>
      </c>
      <c r="BR57" s="106">
        <v>0.5</v>
      </c>
      <c r="BS57" s="106">
        <v>0.51</v>
      </c>
      <c r="BT57" s="106">
        <v>0.51</v>
      </c>
      <c r="BU57" s="2">
        <f t="shared" ca="1" si="22"/>
        <v>0.51</v>
      </c>
      <c r="BV57" s="2"/>
      <c r="BW57" s="1" t="str">
        <f t="shared" si="23"/>
        <v>Waimakariri District</v>
      </c>
      <c r="BX57" s="107">
        <f t="shared" ca="1" si="24"/>
        <v>-6.5189048239836403E-5</v>
      </c>
      <c r="BY57" s="2">
        <f t="shared" ca="1" si="25"/>
        <v>0.14163680511712695</v>
      </c>
      <c r="BZ57" s="2">
        <f t="shared" ca="1" si="26"/>
        <v>4.8758939840134623E-2</v>
      </c>
    </row>
    <row r="58" spans="1:78" x14ac:dyDescent="0.25">
      <c r="A58">
        <v>62</v>
      </c>
      <c r="B58" t="s">
        <v>53</v>
      </c>
      <c r="C58" s="80">
        <v>1336</v>
      </c>
      <c r="D58" s="80">
        <f t="shared" ca="1" si="2"/>
        <v>1335.4</v>
      </c>
      <c r="E58" s="80">
        <v>3965523405</v>
      </c>
      <c r="F58" s="80">
        <f t="shared" ca="1" si="3"/>
        <v>4672321900</v>
      </c>
      <c r="G58" s="80">
        <v>4455</v>
      </c>
      <c r="H58" s="80">
        <f t="shared" ca="1" si="4"/>
        <v>4271</v>
      </c>
      <c r="I58" s="82">
        <v>987.6780159730979</v>
      </c>
      <c r="J58" s="80">
        <v>2920552</v>
      </c>
      <c r="K58" s="80">
        <v>1542049</v>
      </c>
      <c r="L58" s="80">
        <v>3485686</v>
      </c>
      <c r="M58" s="80">
        <v>1835043</v>
      </c>
      <c r="N58" s="80">
        <v>3357743</v>
      </c>
      <c r="O58" s="80">
        <v>1777161</v>
      </c>
      <c r="P58" s="80">
        <v>2641184</v>
      </c>
      <c r="Q58" s="80">
        <v>1354334</v>
      </c>
      <c r="R58" s="80">
        <f t="shared" ca="1" si="5"/>
        <v>3046315.6199999996</v>
      </c>
      <c r="S58" s="80">
        <f t="shared" ca="1" si="6"/>
        <v>1581566</v>
      </c>
      <c r="T58" s="80">
        <f t="shared" ca="1" si="7"/>
        <v>4042882.4499999997</v>
      </c>
      <c r="U58" s="80">
        <f t="shared" ca="1" si="8"/>
        <v>2108471</v>
      </c>
      <c r="V58" s="80">
        <f t="shared" ca="1" si="9"/>
        <v>4250873.88</v>
      </c>
      <c r="W58" s="80">
        <f t="shared" ca="1" si="10"/>
        <v>2197417</v>
      </c>
      <c r="X58" s="80">
        <f t="shared" ca="1" si="11"/>
        <v>2335640.7499999995</v>
      </c>
      <c r="Y58" s="80">
        <f t="shared" ca="1" si="12"/>
        <v>1261246</v>
      </c>
      <c r="Z58">
        <f t="shared" si="27"/>
        <v>12405165</v>
      </c>
      <c r="AA58">
        <f t="shared" si="28"/>
        <v>6508587</v>
      </c>
      <c r="AB58" s="3">
        <f t="shared" si="15"/>
        <v>5896578</v>
      </c>
      <c r="AC58" s="2">
        <f t="shared" si="29"/>
        <v>0.5246675074454874</v>
      </c>
      <c r="AD58" s="1">
        <f t="shared" ca="1" si="16"/>
        <v>2.8581078713776121E-7</v>
      </c>
      <c r="AE58" s="1">
        <v>91</v>
      </c>
      <c r="AH58" s="1">
        <f t="shared" si="1"/>
        <v>58</v>
      </c>
      <c r="AI58" s="1">
        <f t="shared" ca="1" si="17"/>
        <v>91</v>
      </c>
      <c r="AJ58" t="s">
        <v>221</v>
      </c>
      <c r="AK58">
        <v>15422</v>
      </c>
      <c r="AL58">
        <v>13010639100</v>
      </c>
      <c r="AM58">
        <v>447671.90799999982</v>
      </c>
      <c r="AN58">
        <v>15943150132</v>
      </c>
      <c r="AO58">
        <v>42186</v>
      </c>
      <c r="AP58">
        <v>15187</v>
      </c>
      <c r="AQ58">
        <v>16647537850</v>
      </c>
      <c r="AR58">
        <v>441638.13799999986</v>
      </c>
      <c r="AS58">
        <v>17328651858.5</v>
      </c>
      <c r="AU58" s="1">
        <f t="shared" si="18"/>
        <v>57</v>
      </c>
      <c r="AV58" s="1">
        <f t="shared" ca="1" si="19"/>
        <v>83</v>
      </c>
      <c r="AW58" t="s">
        <v>11</v>
      </c>
      <c r="AX58">
        <v>2414.3000000000002</v>
      </c>
      <c r="AY58">
        <v>2416.9</v>
      </c>
      <c r="AZ58">
        <v>2422.7000000000003</v>
      </c>
      <c r="BA58">
        <v>2433.8000000000002</v>
      </c>
      <c r="BC58" s="1">
        <f t="shared" si="20"/>
        <v>18</v>
      </c>
      <c r="BD58" t="s">
        <v>4</v>
      </c>
      <c r="BE58">
        <v>36972708.639999993</v>
      </c>
      <c r="BF58">
        <v>13478360</v>
      </c>
      <c r="BG58">
        <v>26404591.510000005</v>
      </c>
      <c r="BH58">
        <v>9499826</v>
      </c>
      <c r="BI58">
        <v>22138032.09</v>
      </c>
      <c r="BJ58">
        <v>8721222</v>
      </c>
      <c r="BK58">
        <v>9084345.7799999993</v>
      </c>
      <c r="BL58">
        <v>4543346</v>
      </c>
      <c r="BO58" s="1">
        <f t="shared" si="21"/>
        <v>63</v>
      </c>
      <c r="BP58" t="s">
        <v>47</v>
      </c>
      <c r="BQ58" s="106">
        <v>0.48</v>
      </c>
      <c r="BR58" s="106">
        <v>0.49</v>
      </c>
      <c r="BS58" s="106">
        <v>0.5</v>
      </c>
      <c r="BT58" s="106">
        <v>0.51</v>
      </c>
      <c r="BU58" s="2">
        <f t="shared" ca="1" si="22"/>
        <v>0.6</v>
      </c>
      <c r="BV58" s="2"/>
      <c r="BW58" s="1" t="str">
        <f t="shared" si="23"/>
        <v>Waimate District</v>
      </c>
      <c r="BX58" s="107">
        <f t="shared" ca="1" si="24"/>
        <v>-4.4910179640711754E-4</v>
      </c>
      <c r="BY58" s="2">
        <f t="shared" ca="1" si="25"/>
        <v>0.1782358651846111</v>
      </c>
      <c r="BZ58" s="2">
        <f t="shared" ca="1" si="26"/>
        <v>-4.1301907968574636E-2</v>
      </c>
    </row>
    <row r="59" spans="1:78" x14ac:dyDescent="0.25">
      <c r="A59">
        <v>63</v>
      </c>
      <c r="B59" t="s">
        <v>54</v>
      </c>
      <c r="C59" s="80">
        <v>601</v>
      </c>
      <c r="D59" s="80">
        <f t="shared" ca="1" si="2"/>
        <v>601.29999999999995</v>
      </c>
      <c r="E59" s="80">
        <v>2417738200</v>
      </c>
      <c r="F59" s="80">
        <f t="shared" ca="1" si="3"/>
        <v>2222267566.25</v>
      </c>
      <c r="G59" s="80">
        <v>7364</v>
      </c>
      <c r="H59" s="80">
        <f t="shared" ca="1" si="4"/>
        <v>7325</v>
      </c>
      <c r="I59" s="82">
        <v>1031.9764020839718</v>
      </c>
      <c r="J59" s="80">
        <v>3918287</v>
      </c>
      <c r="K59" s="80">
        <v>2610495</v>
      </c>
      <c r="L59" s="80">
        <v>3956235</v>
      </c>
      <c r="M59" s="80">
        <v>2686057</v>
      </c>
      <c r="N59" s="80">
        <v>3849412</v>
      </c>
      <c r="O59" s="80">
        <v>2559523</v>
      </c>
      <c r="P59" s="80">
        <v>4025352</v>
      </c>
      <c r="Q59" s="80">
        <v>2616205</v>
      </c>
      <c r="R59" s="80">
        <f t="shared" ca="1" si="5"/>
        <v>3998647.06</v>
      </c>
      <c r="S59" s="80">
        <f t="shared" ca="1" si="6"/>
        <v>2408575</v>
      </c>
      <c r="T59" s="80">
        <f t="shared" ca="1" si="7"/>
        <v>4255767.58</v>
      </c>
      <c r="U59" s="80">
        <f t="shared" ca="1" si="8"/>
        <v>2529116</v>
      </c>
      <c r="V59" s="80">
        <f t="shared" ca="1" si="9"/>
        <v>3707456.9300000006</v>
      </c>
      <c r="W59" s="80">
        <f t="shared" ca="1" si="10"/>
        <v>2171239</v>
      </c>
      <c r="X59" s="80">
        <f t="shared" ca="1" si="11"/>
        <v>1405881.96</v>
      </c>
      <c r="Y59" s="80">
        <f t="shared" ca="1" si="12"/>
        <v>857588</v>
      </c>
      <c r="Z59">
        <f t="shared" si="27"/>
        <v>15749286</v>
      </c>
      <c r="AA59">
        <f t="shared" si="28"/>
        <v>10472280</v>
      </c>
      <c r="AB59" s="3">
        <f t="shared" si="15"/>
        <v>5277006</v>
      </c>
      <c r="AC59" s="2">
        <f t="shared" si="29"/>
        <v>0.6649368104687412</v>
      </c>
      <c r="AD59" s="1">
        <f t="shared" ca="1" si="16"/>
        <v>2.7057947887646717E-7</v>
      </c>
      <c r="AE59" s="1">
        <v>90</v>
      </c>
      <c r="AH59" s="1">
        <f t="shared" si="1"/>
        <v>48</v>
      </c>
      <c r="AI59" s="1">
        <f t="shared" ca="1" si="17"/>
        <v>91</v>
      </c>
      <c r="AJ59" t="s">
        <v>222</v>
      </c>
      <c r="AK59">
        <v>21765</v>
      </c>
      <c r="AL59">
        <v>9511175850</v>
      </c>
      <c r="AM59">
        <v>207649.4016999999</v>
      </c>
      <c r="AN59">
        <v>10890243343</v>
      </c>
      <c r="AO59">
        <v>41883</v>
      </c>
      <c r="AP59">
        <v>21951</v>
      </c>
      <c r="AQ59">
        <v>11646956450</v>
      </c>
      <c r="AR59">
        <v>207378.00129999983</v>
      </c>
      <c r="AS59">
        <v>12799769366.5</v>
      </c>
      <c r="AU59" s="1">
        <f t="shared" si="18"/>
        <v>3</v>
      </c>
      <c r="AV59" s="1">
        <f t="shared" ca="1" si="19"/>
        <v>91</v>
      </c>
      <c r="AW59" t="s">
        <v>52</v>
      </c>
      <c r="AX59">
        <v>1533.9</v>
      </c>
      <c r="AY59">
        <v>1545.6</v>
      </c>
      <c r="AZ59">
        <v>1535.9</v>
      </c>
      <c r="BA59">
        <v>1563.7</v>
      </c>
      <c r="BC59" s="1">
        <f t="shared" si="20"/>
        <v>75</v>
      </c>
      <c r="BD59" t="s">
        <v>5</v>
      </c>
      <c r="BE59">
        <v>6174715.0199999986</v>
      </c>
      <c r="BF59">
        <v>3569452</v>
      </c>
      <c r="BG59">
        <v>4844796.3699999982</v>
      </c>
      <c r="BH59">
        <v>2616367</v>
      </c>
      <c r="BI59">
        <v>5699486.5600000005</v>
      </c>
      <c r="BJ59">
        <v>3058242</v>
      </c>
      <c r="BK59">
        <v>1044105.35</v>
      </c>
      <c r="BL59">
        <v>584699</v>
      </c>
      <c r="BO59" s="1">
        <f t="shared" si="21"/>
        <v>64</v>
      </c>
      <c r="BP59" t="s">
        <v>261</v>
      </c>
      <c r="BQ59" s="106">
        <v>0.52</v>
      </c>
      <c r="BR59" s="106">
        <v>0.51</v>
      </c>
      <c r="BS59" s="106">
        <v>0.51</v>
      </c>
      <c r="BT59" s="106">
        <v>0.51</v>
      </c>
      <c r="BU59" s="2">
        <f t="shared" ca="1" si="22"/>
        <v>0.63</v>
      </c>
      <c r="BV59" s="2"/>
      <c r="BW59" s="1" t="str">
        <f t="shared" si="23"/>
        <v>Buller District</v>
      </c>
      <c r="BX59" s="107">
        <f t="shared" ca="1" si="24"/>
        <v>4.9916805324451668E-4</v>
      </c>
      <c r="BY59" s="2">
        <f t="shared" ca="1" si="25"/>
        <v>-8.0848552481819574E-2</v>
      </c>
      <c r="BZ59" s="2">
        <f t="shared" ca="1" si="26"/>
        <v>-5.296034763715372E-3</v>
      </c>
    </row>
    <row r="60" spans="1:78" x14ac:dyDescent="0.25">
      <c r="A60">
        <v>64</v>
      </c>
      <c r="B60" t="s">
        <v>55</v>
      </c>
      <c r="C60" s="80">
        <v>610</v>
      </c>
      <c r="D60" s="80">
        <f t="shared" ca="1" si="2"/>
        <v>609.20000000000005</v>
      </c>
      <c r="E60" s="80">
        <v>2623147630</v>
      </c>
      <c r="F60" s="80">
        <f t="shared" ca="1" si="3"/>
        <v>2569982189</v>
      </c>
      <c r="G60" s="80">
        <v>8549</v>
      </c>
      <c r="H60" s="80">
        <f t="shared" ca="1" si="4"/>
        <v>8494</v>
      </c>
      <c r="I60" s="82">
        <v>997.88461538461536</v>
      </c>
      <c r="J60" s="80">
        <v>5842328</v>
      </c>
      <c r="K60" s="80">
        <v>3799932</v>
      </c>
      <c r="L60" s="80">
        <v>5032075</v>
      </c>
      <c r="M60" s="80">
        <v>3183755</v>
      </c>
      <c r="N60" s="80">
        <v>4838722</v>
      </c>
      <c r="O60" s="80">
        <v>3053269</v>
      </c>
      <c r="P60" s="80">
        <v>4789310</v>
      </c>
      <c r="Q60" s="80">
        <v>2984774</v>
      </c>
      <c r="R60" s="80">
        <f t="shared" ca="1" si="5"/>
        <v>5125988.3399999989</v>
      </c>
      <c r="S60" s="80">
        <f t="shared" ca="1" si="6"/>
        <v>3171477</v>
      </c>
      <c r="T60" s="80">
        <f t="shared" ca="1" si="7"/>
        <v>4439551.1399999997</v>
      </c>
      <c r="U60" s="80">
        <f t="shared" ca="1" si="8"/>
        <v>2690979</v>
      </c>
      <c r="V60" s="80">
        <f t="shared" ca="1" si="9"/>
        <v>6066902.5600000005</v>
      </c>
      <c r="W60" s="80">
        <f t="shared" ca="1" si="10"/>
        <v>3732055</v>
      </c>
      <c r="X60" s="80">
        <f t="shared" ca="1" si="11"/>
        <v>1545443.5399999998</v>
      </c>
      <c r="Y60" s="80">
        <f t="shared" ca="1" si="12"/>
        <v>958175</v>
      </c>
      <c r="Z60">
        <f t="shared" si="27"/>
        <v>20502435</v>
      </c>
      <c r="AA60">
        <f t="shared" si="28"/>
        <v>13021730</v>
      </c>
      <c r="AB60" s="3">
        <f t="shared" si="15"/>
        <v>7480705</v>
      </c>
      <c r="AC60" s="2">
        <f t="shared" si="29"/>
        <v>0.63513090030525643</v>
      </c>
      <c r="AD60" s="1">
        <f t="shared" ca="1" si="16"/>
        <v>2.3704444435743132E-7</v>
      </c>
      <c r="AE60" s="1">
        <v>90</v>
      </c>
      <c r="AH60" s="1">
        <f t="shared" si="1"/>
        <v>49</v>
      </c>
      <c r="AI60" s="1">
        <f t="shared" ca="1" si="17"/>
        <v>91</v>
      </c>
      <c r="AJ60" t="s">
        <v>223</v>
      </c>
      <c r="AK60">
        <v>4383</v>
      </c>
      <c r="AL60">
        <v>2770476650</v>
      </c>
      <c r="AM60">
        <v>454492.07000000012</v>
      </c>
      <c r="AN60">
        <v>3121399123.3000002</v>
      </c>
      <c r="AO60">
        <v>41821</v>
      </c>
      <c r="AP60">
        <v>4422</v>
      </c>
      <c r="AQ60">
        <v>3206291350</v>
      </c>
      <c r="AR60">
        <v>398665.28000000014</v>
      </c>
      <c r="AS60">
        <v>3627459375.5</v>
      </c>
      <c r="AU60" s="1">
        <f t="shared" si="18"/>
        <v>14</v>
      </c>
      <c r="AV60" s="1">
        <f t="shared" ca="1" si="19"/>
        <v>91</v>
      </c>
      <c r="AW60" t="s">
        <v>53</v>
      </c>
      <c r="AX60">
        <v>1335.4</v>
      </c>
      <c r="AY60">
        <v>1336.1000000000001</v>
      </c>
      <c r="AZ60">
        <v>1336.6999999999998</v>
      </c>
      <c r="BA60">
        <v>1335.6999999999998</v>
      </c>
      <c r="BC60" s="1">
        <f t="shared" si="20"/>
        <v>76</v>
      </c>
      <c r="BD60" t="s">
        <v>6</v>
      </c>
      <c r="BE60">
        <v>10722874.92</v>
      </c>
      <c r="BF60">
        <v>5204171</v>
      </c>
      <c r="BG60">
        <v>10650591.610000001</v>
      </c>
      <c r="BH60">
        <v>5158225</v>
      </c>
      <c r="BI60">
        <v>10758915.51</v>
      </c>
      <c r="BJ60">
        <v>5221041</v>
      </c>
      <c r="BK60">
        <v>3290835.3</v>
      </c>
      <c r="BL60">
        <v>1678326</v>
      </c>
      <c r="BO60" s="1">
        <f t="shared" si="21"/>
        <v>65</v>
      </c>
      <c r="BP60" t="s">
        <v>48</v>
      </c>
      <c r="BQ60" s="106">
        <v>0.52</v>
      </c>
      <c r="BR60" s="106">
        <v>0.51</v>
      </c>
      <c r="BS60" s="106">
        <v>0.51</v>
      </c>
      <c r="BT60" s="106">
        <v>0.51</v>
      </c>
      <c r="BU60" s="2">
        <f t="shared" ca="1" si="22"/>
        <v>0.56999999999999995</v>
      </c>
      <c r="BV60" s="2"/>
      <c r="BW60" s="1" t="str">
        <f t="shared" si="23"/>
        <v>Grey District</v>
      </c>
      <c r="BX60" s="107">
        <f t="shared" ca="1" si="24"/>
        <v>-1.311475409835991E-3</v>
      </c>
      <c r="BY60" s="2">
        <f t="shared" ca="1" si="25"/>
        <v>-2.0267803608140806E-2</v>
      </c>
      <c r="BZ60" s="2">
        <f t="shared" ca="1" si="26"/>
        <v>-6.4335009942683352E-3</v>
      </c>
    </row>
    <row r="61" spans="1:78" x14ac:dyDescent="0.25">
      <c r="A61">
        <v>65</v>
      </c>
      <c r="B61" t="s">
        <v>56</v>
      </c>
      <c r="C61" s="80">
        <v>673</v>
      </c>
      <c r="D61" s="80">
        <f t="shared" ca="1" si="2"/>
        <v>673.40000000000009</v>
      </c>
      <c r="E61" s="80">
        <v>2364564465</v>
      </c>
      <c r="F61" s="80">
        <f t="shared" ca="1" si="3"/>
        <v>2349422142</v>
      </c>
      <c r="G61" s="80">
        <v>6497</v>
      </c>
      <c r="H61" s="80">
        <f t="shared" ca="1" si="4"/>
        <v>6558</v>
      </c>
      <c r="I61" s="82">
        <v>988.67059243397568</v>
      </c>
      <c r="J61" s="80">
        <v>3794227</v>
      </c>
      <c r="K61" s="80">
        <v>2492759</v>
      </c>
      <c r="L61" s="80">
        <v>3876282</v>
      </c>
      <c r="M61" s="80">
        <v>2545841</v>
      </c>
      <c r="N61" s="80">
        <v>3910079</v>
      </c>
      <c r="O61" s="80">
        <v>2572675</v>
      </c>
      <c r="P61" s="80">
        <v>2800280</v>
      </c>
      <c r="Q61" s="80">
        <v>1811186</v>
      </c>
      <c r="R61" s="80">
        <f t="shared" ca="1" si="5"/>
        <v>2451120.1999999997</v>
      </c>
      <c r="S61" s="80">
        <f t="shared" ca="1" si="6"/>
        <v>1439877</v>
      </c>
      <c r="T61" s="80">
        <f t="shared" ca="1" si="7"/>
        <v>5460299.2199999997</v>
      </c>
      <c r="U61" s="80">
        <f t="shared" ca="1" si="8"/>
        <v>3201059</v>
      </c>
      <c r="V61" s="80">
        <f t="shared" ca="1" si="9"/>
        <v>3734074.29</v>
      </c>
      <c r="W61" s="80">
        <f t="shared" ca="1" si="10"/>
        <v>2182610</v>
      </c>
      <c r="X61" s="80">
        <f t="shared" ca="1" si="11"/>
        <v>1001993.2</v>
      </c>
      <c r="Y61" s="80">
        <f t="shared" ca="1" si="12"/>
        <v>591176</v>
      </c>
      <c r="Z61">
        <f t="shared" si="27"/>
        <v>14380868</v>
      </c>
      <c r="AA61">
        <f t="shared" si="28"/>
        <v>9422461</v>
      </c>
      <c r="AB61" s="3">
        <f t="shared" si="15"/>
        <v>4958407</v>
      </c>
      <c r="AC61" s="2">
        <f t="shared" si="29"/>
        <v>0.65520808618784343</v>
      </c>
      <c r="AD61" s="1">
        <f t="shared" ca="1" si="16"/>
        <v>2.8662367139638546E-7</v>
      </c>
      <c r="AE61" s="1">
        <v>90</v>
      </c>
      <c r="AH61" s="1">
        <f t="shared" si="1"/>
        <v>50</v>
      </c>
      <c r="AI61" s="1">
        <f t="shared" ca="1" si="17"/>
        <v>91</v>
      </c>
      <c r="AJ61" t="s">
        <v>224</v>
      </c>
      <c r="AK61">
        <v>4455</v>
      </c>
      <c r="AL61">
        <v>3849427100</v>
      </c>
      <c r="AM61">
        <v>319757.23000000004</v>
      </c>
      <c r="AN61">
        <v>3965523405</v>
      </c>
      <c r="AO61">
        <v>42552</v>
      </c>
      <c r="AP61">
        <v>4271</v>
      </c>
      <c r="AQ61">
        <v>4672321900</v>
      </c>
      <c r="AR61">
        <v>321083.36999999994</v>
      </c>
      <c r="AS61">
        <v>4672321900</v>
      </c>
      <c r="AU61" s="1">
        <f t="shared" si="18"/>
        <v>65</v>
      </c>
      <c r="AV61" s="1">
        <f t="shared" ca="1" si="19"/>
        <v>83</v>
      </c>
      <c r="AW61" t="s">
        <v>12</v>
      </c>
      <c r="AX61">
        <v>1070.5</v>
      </c>
      <c r="AY61">
        <v>1074</v>
      </c>
      <c r="AZ61">
        <v>1074.9000000000001</v>
      </c>
      <c r="BA61">
        <v>1095</v>
      </c>
      <c r="BC61" s="1">
        <f t="shared" si="20"/>
        <v>78</v>
      </c>
      <c r="BD61" t="s">
        <v>7</v>
      </c>
      <c r="BE61">
        <v>4780407.330000001</v>
      </c>
      <c r="BF61">
        <v>2512331</v>
      </c>
      <c r="BG61">
        <v>6257563.7199999997</v>
      </c>
      <c r="BH61">
        <v>3285492</v>
      </c>
      <c r="BI61">
        <v>5698182.1299999999</v>
      </c>
      <c r="BJ61">
        <v>2979786</v>
      </c>
      <c r="BK61">
        <v>3381692.72</v>
      </c>
      <c r="BL61">
        <v>1859931</v>
      </c>
      <c r="BO61" s="1">
        <f t="shared" si="21"/>
        <v>67</v>
      </c>
      <c r="BP61" t="s">
        <v>42</v>
      </c>
      <c r="BQ61" s="106">
        <v>0.47</v>
      </c>
      <c r="BR61" s="106">
        <v>0.48</v>
      </c>
      <c r="BS61" s="106">
        <v>0.49</v>
      </c>
      <c r="BT61" s="106">
        <v>0.51</v>
      </c>
      <c r="BU61" s="2">
        <f t="shared" ca="1" si="22"/>
        <v>0.57999999999999996</v>
      </c>
      <c r="BV61" s="2"/>
      <c r="BW61" s="1" t="str">
        <f t="shared" si="23"/>
        <v>Westland District</v>
      </c>
      <c r="BX61" s="107">
        <f t="shared" ca="1" si="24"/>
        <v>5.943536404161827E-4</v>
      </c>
      <c r="BY61" s="2">
        <f t="shared" ca="1" si="25"/>
        <v>-6.4038528972818675E-3</v>
      </c>
      <c r="BZ61" s="2">
        <f t="shared" ca="1" si="26"/>
        <v>9.3889487455748807E-3</v>
      </c>
    </row>
    <row r="62" spans="1:78" x14ac:dyDescent="0.25">
      <c r="A62">
        <v>66</v>
      </c>
      <c r="B62" t="s">
        <v>57</v>
      </c>
      <c r="C62" s="80">
        <v>1885</v>
      </c>
      <c r="D62" s="80">
        <f t="shared" ca="1" si="2"/>
        <v>1884.6</v>
      </c>
      <c r="E62" s="80">
        <v>7209518248</v>
      </c>
      <c r="F62" s="80">
        <f t="shared" ca="1" si="3"/>
        <v>9009552050</v>
      </c>
      <c r="G62" s="80">
        <v>13453</v>
      </c>
      <c r="H62" s="80">
        <f t="shared" ca="1" si="4"/>
        <v>13277</v>
      </c>
      <c r="I62" s="82">
        <v>947.3458356315499</v>
      </c>
      <c r="J62" s="80">
        <v>5987900</v>
      </c>
      <c r="K62" s="80">
        <v>3156365</v>
      </c>
      <c r="L62" s="80">
        <v>6604583</v>
      </c>
      <c r="M62" s="80">
        <v>3449904</v>
      </c>
      <c r="N62" s="80">
        <v>6320626</v>
      </c>
      <c r="O62" s="80">
        <v>3308218</v>
      </c>
      <c r="P62" s="80">
        <v>6055893</v>
      </c>
      <c r="Q62" s="80">
        <v>3063582</v>
      </c>
      <c r="R62" s="80">
        <f t="shared" ca="1" si="5"/>
        <v>6192156.9900000002</v>
      </c>
      <c r="S62" s="80">
        <f t="shared" ca="1" si="6"/>
        <v>3132511</v>
      </c>
      <c r="T62" s="80">
        <f t="shared" ca="1" si="7"/>
        <v>6898591.6600000001</v>
      </c>
      <c r="U62" s="80">
        <f t="shared" ca="1" si="8"/>
        <v>3501081</v>
      </c>
      <c r="V62" s="80">
        <f t="shared" ca="1" si="9"/>
        <v>6750618.79</v>
      </c>
      <c r="W62" s="80">
        <f t="shared" ca="1" si="10"/>
        <v>3428448</v>
      </c>
      <c r="X62" s="80">
        <f t="shared" ca="1" si="11"/>
        <v>2640620.02</v>
      </c>
      <c r="Y62" s="80">
        <f t="shared" ca="1" si="12"/>
        <v>1376182</v>
      </c>
      <c r="Z62">
        <f t="shared" si="27"/>
        <v>24969002</v>
      </c>
      <c r="AA62">
        <f t="shared" si="28"/>
        <v>12978069</v>
      </c>
      <c r="AB62" s="3">
        <f t="shared" si="15"/>
        <v>11990933</v>
      </c>
      <c r="AC62" s="2">
        <f t="shared" si="29"/>
        <v>0.51976722978355328</v>
      </c>
      <c r="AD62" s="1">
        <f t="shared" ca="1" si="16"/>
        <v>2.0917799126317273E-7</v>
      </c>
      <c r="AE62" s="1">
        <v>93</v>
      </c>
      <c r="AH62" s="1">
        <f t="shared" si="1"/>
        <v>60</v>
      </c>
      <c r="AI62" s="1">
        <f t="shared" ca="1" si="17"/>
        <v>93</v>
      </c>
      <c r="AJ62" t="s">
        <v>225</v>
      </c>
      <c r="AK62">
        <v>14198</v>
      </c>
      <c r="AL62">
        <v>6409154300</v>
      </c>
      <c r="AM62">
        <v>539044.68999999948</v>
      </c>
      <c r="AN62">
        <v>7059954731</v>
      </c>
      <c r="AO62">
        <v>41883</v>
      </c>
      <c r="AP62">
        <v>13773</v>
      </c>
      <c r="AQ62">
        <v>7212479150</v>
      </c>
      <c r="AR62">
        <v>533814.15999999992</v>
      </c>
      <c r="AS62">
        <v>7743324691</v>
      </c>
      <c r="AU62" s="1">
        <f t="shared" si="18"/>
        <v>6</v>
      </c>
      <c r="AV62" s="1">
        <f t="shared" ca="1" si="19"/>
        <v>86</v>
      </c>
      <c r="AW62" t="s">
        <v>23</v>
      </c>
      <c r="AX62">
        <v>897.6</v>
      </c>
      <c r="AY62">
        <v>897.6</v>
      </c>
      <c r="AZ62">
        <v>897.60000000000014</v>
      </c>
      <c r="BA62">
        <v>897.6</v>
      </c>
      <c r="BC62" s="1">
        <f t="shared" si="20"/>
        <v>40</v>
      </c>
      <c r="BD62" t="s">
        <v>8</v>
      </c>
      <c r="BE62">
        <v>5080998.01</v>
      </c>
      <c r="BF62">
        <v>2572889</v>
      </c>
      <c r="BG62">
        <v>5006691.67</v>
      </c>
      <c r="BH62">
        <v>2538329</v>
      </c>
      <c r="BI62">
        <v>5355982.01</v>
      </c>
      <c r="BJ62">
        <v>2737589</v>
      </c>
      <c r="BK62">
        <v>2400654.7099999995</v>
      </c>
      <c r="BL62">
        <v>1272347</v>
      </c>
      <c r="BO62" s="1">
        <f t="shared" si="21"/>
        <v>69</v>
      </c>
      <c r="BP62" t="s">
        <v>49</v>
      </c>
      <c r="BQ62" s="106">
        <v>0.54</v>
      </c>
      <c r="BR62" s="106">
        <v>0.53</v>
      </c>
      <c r="BS62" s="106">
        <v>0.52</v>
      </c>
      <c r="BT62" s="106">
        <v>0.51</v>
      </c>
      <c r="BU62" s="2">
        <f t="shared" ca="1" si="22"/>
        <v>0.51</v>
      </c>
      <c r="BV62" s="2"/>
      <c r="BW62" s="1" t="str">
        <f t="shared" si="23"/>
        <v>Central Otago District</v>
      </c>
      <c r="BX62" s="107">
        <f t="shared" ca="1" si="24"/>
        <v>-2.122015915119846E-4</v>
      </c>
      <c r="BY62" s="2">
        <f t="shared" ca="1" si="25"/>
        <v>0.24967463013209645</v>
      </c>
      <c r="BZ62" s="2">
        <f t="shared" ca="1" si="26"/>
        <v>-1.3082583810302535E-2</v>
      </c>
    </row>
    <row r="63" spans="1:78" x14ac:dyDescent="0.25">
      <c r="A63">
        <v>67</v>
      </c>
      <c r="B63" t="s">
        <v>58</v>
      </c>
      <c r="C63" s="80">
        <v>2919</v>
      </c>
      <c r="D63" s="80">
        <f t="shared" ca="1" si="2"/>
        <v>2918.6000000000004</v>
      </c>
      <c r="E63" s="80">
        <v>7036718467</v>
      </c>
      <c r="F63" s="80">
        <f t="shared" ca="1" si="3"/>
        <v>7720522601.5</v>
      </c>
      <c r="G63" s="80">
        <v>12003</v>
      </c>
      <c r="H63" s="80">
        <f t="shared" ca="1" si="4"/>
        <v>11947</v>
      </c>
      <c r="I63" s="82">
        <v>967.42468876030159</v>
      </c>
      <c r="J63" s="80">
        <v>12561838</v>
      </c>
      <c r="K63" s="80">
        <v>7723153</v>
      </c>
      <c r="L63" s="80">
        <v>15295981</v>
      </c>
      <c r="M63" s="80">
        <v>9511782</v>
      </c>
      <c r="N63" s="80">
        <v>14318193</v>
      </c>
      <c r="O63" s="80">
        <v>8825549</v>
      </c>
      <c r="P63" s="80">
        <v>12380538</v>
      </c>
      <c r="Q63" s="80">
        <v>7434862</v>
      </c>
      <c r="R63" s="80">
        <f t="shared" ca="1" si="5"/>
        <v>12640877.089999996</v>
      </c>
      <c r="S63" s="80">
        <f t="shared" ca="1" si="6"/>
        <v>7583926</v>
      </c>
      <c r="T63" s="80">
        <f t="shared" ca="1" si="7"/>
        <v>13243345.800000001</v>
      </c>
      <c r="U63" s="80">
        <f t="shared" ca="1" si="8"/>
        <v>8018316</v>
      </c>
      <c r="V63" s="80">
        <f t="shared" ca="1" si="9"/>
        <v>14923920.1</v>
      </c>
      <c r="W63" s="80">
        <f t="shared" ca="1" si="10"/>
        <v>8941755</v>
      </c>
      <c r="X63" s="80">
        <f t="shared" ca="1" si="11"/>
        <v>4271305.17</v>
      </c>
      <c r="Y63" s="80">
        <f t="shared" ca="1" si="12"/>
        <v>2594786</v>
      </c>
      <c r="Z63">
        <f t="shared" si="27"/>
        <v>54556550</v>
      </c>
      <c r="AA63">
        <f t="shared" si="28"/>
        <v>33495346</v>
      </c>
      <c r="AB63" s="3">
        <f t="shared" si="15"/>
        <v>21061204</v>
      </c>
      <c r="AC63" s="2">
        <f t="shared" si="29"/>
        <v>0.61395645435790935</v>
      </c>
      <c r="AD63" s="1">
        <f t="shared" ca="1" si="16"/>
        <v>3.7803140417372176E-7</v>
      </c>
      <c r="AE63" s="1">
        <v>93</v>
      </c>
      <c r="AH63" s="1">
        <f t="shared" si="1"/>
        <v>63</v>
      </c>
      <c r="AI63" s="1">
        <f t="shared" ca="1" si="17"/>
        <v>93</v>
      </c>
      <c r="AJ63" t="s">
        <v>226</v>
      </c>
      <c r="AK63">
        <v>13453</v>
      </c>
      <c r="AL63">
        <v>7008390550</v>
      </c>
      <c r="AM63">
        <v>874430.55750000011</v>
      </c>
      <c r="AN63">
        <v>7209518247.5</v>
      </c>
      <c r="AO63">
        <v>42614</v>
      </c>
      <c r="AP63">
        <v>13277</v>
      </c>
      <c r="AQ63">
        <v>9009552050</v>
      </c>
      <c r="AR63">
        <v>860344.1</v>
      </c>
      <c r="AS63">
        <v>9009552050</v>
      </c>
      <c r="AU63" s="1">
        <f t="shared" si="18"/>
        <v>9</v>
      </c>
      <c r="AV63" s="1">
        <f t="shared" ca="1" si="19"/>
        <v>93</v>
      </c>
      <c r="AW63" t="s">
        <v>61</v>
      </c>
      <c r="AX63">
        <v>1809.3000000000002</v>
      </c>
      <c r="AY63">
        <v>1822.1</v>
      </c>
      <c r="AZ63">
        <v>1817.3999999999999</v>
      </c>
      <c r="BA63">
        <v>1811.3999999999999</v>
      </c>
      <c r="BC63" s="1">
        <f t="shared" si="20"/>
        <v>41</v>
      </c>
      <c r="BD63" t="s">
        <v>9</v>
      </c>
      <c r="BE63">
        <v>4957542.97</v>
      </c>
      <c r="BF63">
        <v>2191588</v>
      </c>
      <c r="BG63">
        <v>4734151.6800000006</v>
      </c>
      <c r="BH63">
        <v>2067119</v>
      </c>
      <c r="BI63">
        <v>4736064.51</v>
      </c>
      <c r="BJ63">
        <v>2071250</v>
      </c>
      <c r="BK63">
        <v>2464328</v>
      </c>
      <c r="BL63">
        <v>1232164</v>
      </c>
      <c r="BO63" s="1">
        <f t="shared" si="21"/>
        <v>70</v>
      </c>
      <c r="BP63" t="s">
        <v>50</v>
      </c>
      <c r="BQ63" s="106">
        <v>0.51</v>
      </c>
      <c r="BR63" s="106">
        <v>0.51</v>
      </c>
      <c r="BS63" s="106">
        <v>0.51</v>
      </c>
      <c r="BT63" s="106">
        <v>0.51</v>
      </c>
      <c r="BU63" s="2">
        <f t="shared" ca="1" si="22"/>
        <v>0.59</v>
      </c>
      <c r="BV63" s="2"/>
      <c r="BW63" s="1" t="str">
        <f t="shared" si="23"/>
        <v>Clutha District</v>
      </c>
      <c r="BX63" s="107">
        <f t="shared" ca="1" si="24"/>
        <v>-1.3703323055828579E-4</v>
      </c>
      <c r="BY63" s="2">
        <f t="shared" ca="1" si="25"/>
        <v>9.7176565711251162E-2</v>
      </c>
      <c r="BZ63" s="2">
        <f t="shared" ca="1" si="26"/>
        <v>-4.6655002915937686E-3</v>
      </c>
    </row>
    <row r="64" spans="1:78" x14ac:dyDescent="0.25">
      <c r="A64">
        <v>68</v>
      </c>
      <c r="B64" t="s">
        <v>59</v>
      </c>
      <c r="C64" s="80">
        <v>1767</v>
      </c>
      <c r="D64" s="80">
        <f t="shared" ca="1" si="2"/>
        <v>1767.8</v>
      </c>
      <c r="E64" s="80">
        <v>20155416468</v>
      </c>
      <c r="F64" s="80">
        <f t="shared" ca="1" si="3"/>
        <v>22567985050</v>
      </c>
      <c r="G64" s="80">
        <v>53616</v>
      </c>
      <c r="H64" s="80">
        <f t="shared" ca="1" si="4"/>
        <v>53811</v>
      </c>
      <c r="I64" s="82">
        <v>991.00715712804435</v>
      </c>
      <c r="J64" s="80">
        <v>37986904</v>
      </c>
      <c r="K64" s="80">
        <v>22768423</v>
      </c>
      <c r="L64" s="80">
        <v>37917889</v>
      </c>
      <c r="M64" s="80">
        <v>22725205</v>
      </c>
      <c r="N64" s="80">
        <v>27043111</v>
      </c>
      <c r="O64" s="80">
        <v>15425517</v>
      </c>
      <c r="P64" s="80">
        <v>20847919</v>
      </c>
      <c r="Q64" s="80">
        <v>11853214</v>
      </c>
      <c r="R64" s="80">
        <f t="shared" ca="1" si="5"/>
        <v>22565928.190000001</v>
      </c>
      <c r="S64" s="80">
        <f t="shared" ca="1" si="6"/>
        <v>12798446</v>
      </c>
      <c r="T64" s="80">
        <f t="shared" ca="1" si="7"/>
        <v>23948803.969999999</v>
      </c>
      <c r="U64" s="80">
        <f t="shared" ca="1" si="8"/>
        <v>13807786</v>
      </c>
      <c r="V64" s="80">
        <f t="shared" ca="1" si="9"/>
        <v>31609716.16</v>
      </c>
      <c r="W64" s="80">
        <f t="shared" ca="1" si="10"/>
        <v>18630901</v>
      </c>
      <c r="X64" s="80">
        <f t="shared" ca="1" si="11"/>
        <v>9611249.2600000016</v>
      </c>
      <c r="Y64" s="80">
        <f t="shared" ca="1" si="12"/>
        <v>5706504</v>
      </c>
      <c r="Z64">
        <f t="shared" si="27"/>
        <v>123795823</v>
      </c>
      <c r="AA64">
        <f t="shared" si="28"/>
        <v>72772359</v>
      </c>
      <c r="AB64" s="3">
        <f t="shared" si="15"/>
        <v>51023464</v>
      </c>
      <c r="AC64" s="2">
        <f t="shared" si="29"/>
        <v>0.58784179656853208</v>
      </c>
      <c r="AD64" s="1">
        <f t="shared" ca="1" si="16"/>
        <v>7.8332203609821157E-8</v>
      </c>
      <c r="AE64" s="1">
        <v>93</v>
      </c>
      <c r="AH64" s="1">
        <f t="shared" si="1"/>
        <v>62</v>
      </c>
      <c r="AI64" s="1">
        <f t="shared" ca="1" si="17"/>
        <v>93</v>
      </c>
      <c r="AJ64" t="s">
        <v>243</v>
      </c>
      <c r="AK64">
        <v>22383</v>
      </c>
      <c r="AL64">
        <v>17223525350</v>
      </c>
      <c r="AM64">
        <v>400203.00970000011</v>
      </c>
      <c r="AN64">
        <v>18272229515.400002</v>
      </c>
      <c r="AO64">
        <v>41821</v>
      </c>
      <c r="AP64">
        <v>23509</v>
      </c>
      <c r="AQ64">
        <v>19339775750</v>
      </c>
      <c r="AR64">
        <v>341872.75969999965</v>
      </c>
      <c r="AS64">
        <v>27857104270</v>
      </c>
      <c r="AU64" s="1">
        <f t="shared" si="18"/>
        <v>10</v>
      </c>
      <c r="AV64" s="1">
        <f t="shared" ca="1" si="19"/>
        <v>83</v>
      </c>
      <c r="AW64" t="s">
        <v>13</v>
      </c>
      <c r="AX64">
        <v>1071</v>
      </c>
      <c r="AY64">
        <v>1014.4000000000001</v>
      </c>
      <c r="AZ64">
        <v>1014.4000000000001</v>
      </c>
      <c r="BA64">
        <v>1014.4000000000001</v>
      </c>
      <c r="BC64" s="1">
        <f t="shared" si="20"/>
        <v>42</v>
      </c>
      <c r="BD64" t="s">
        <v>10</v>
      </c>
      <c r="BE64">
        <v>11313970.49</v>
      </c>
      <c r="BF64">
        <v>5004043</v>
      </c>
      <c r="BG64">
        <v>10633172.52</v>
      </c>
      <c r="BH64">
        <v>4728728</v>
      </c>
      <c r="BI64">
        <v>11285792.57</v>
      </c>
      <c r="BJ64">
        <v>4988358</v>
      </c>
      <c r="BK64">
        <v>7191820.1800000006</v>
      </c>
      <c r="BL64">
        <v>3315146</v>
      </c>
      <c r="BO64" s="1">
        <f t="shared" si="21"/>
        <v>71</v>
      </c>
      <c r="BP64" t="s">
        <v>51</v>
      </c>
      <c r="BQ64" s="106">
        <v>0.55000000000000004</v>
      </c>
      <c r="BR64" s="106">
        <v>0.54</v>
      </c>
      <c r="BS64" s="106">
        <v>0.53</v>
      </c>
      <c r="BT64" s="106">
        <v>0.51</v>
      </c>
      <c r="BU64" s="2">
        <f t="shared" ca="1" si="22"/>
        <v>0.51</v>
      </c>
      <c r="BV64" s="2"/>
      <c r="BW64" s="1" t="str">
        <f t="shared" si="23"/>
        <v>Dunedin City</v>
      </c>
      <c r="BX64" s="107">
        <f t="shared" ca="1" si="24"/>
        <v>4.5274476513862736E-4</v>
      </c>
      <c r="BY64" s="2">
        <f t="shared" ca="1" si="25"/>
        <v>0.11969827494412456</v>
      </c>
      <c r="BZ64" s="2">
        <f t="shared" ca="1" si="26"/>
        <v>3.6369740376007162E-3</v>
      </c>
    </row>
    <row r="65" spans="1:78" x14ac:dyDescent="0.25">
      <c r="A65">
        <v>69</v>
      </c>
      <c r="B65" t="s">
        <v>60</v>
      </c>
      <c r="C65" s="80">
        <v>820</v>
      </c>
      <c r="D65" s="80">
        <f t="shared" ca="1" si="2"/>
        <v>818.1</v>
      </c>
      <c r="E65" s="80">
        <v>18272229515</v>
      </c>
      <c r="F65" s="80">
        <f t="shared" ca="1" si="3"/>
        <v>27857104270</v>
      </c>
      <c r="G65" s="80">
        <v>22383</v>
      </c>
      <c r="H65" s="80">
        <f t="shared" ca="1" si="4"/>
        <v>23509</v>
      </c>
      <c r="I65" s="82">
        <v>926.50854979767655</v>
      </c>
      <c r="J65" s="80">
        <v>19348545</v>
      </c>
      <c r="K65" s="80">
        <v>11140260</v>
      </c>
      <c r="L65" s="80">
        <v>16002463</v>
      </c>
      <c r="M65" s="80">
        <v>9148995</v>
      </c>
      <c r="N65" s="80">
        <v>22464856</v>
      </c>
      <c r="O65" s="80">
        <v>12598356</v>
      </c>
      <c r="P65" s="80">
        <v>18962624</v>
      </c>
      <c r="Q65" s="80">
        <v>10196253</v>
      </c>
      <c r="R65" s="80">
        <f t="shared" ca="1" si="5"/>
        <v>18185976.710000001</v>
      </c>
      <c r="S65" s="80">
        <f t="shared" ca="1" si="6"/>
        <v>9058940</v>
      </c>
      <c r="T65" s="80">
        <f t="shared" ca="1" si="7"/>
        <v>13149008.969999997</v>
      </c>
      <c r="U65" s="80">
        <f t="shared" ca="1" si="8"/>
        <v>6349255</v>
      </c>
      <c r="V65" s="80">
        <f t="shared" ca="1" si="9"/>
        <v>13383959.950000003</v>
      </c>
      <c r="W65" s="80">
        <f t="shared" ca="1" si="10"/>
        <v>6696909</v>
      </c>
      <c r="X65" s="80">
        <f t="shared" ca="1" si="11"/>
        <v>4586195.9700000007</v>
      </c>
      <c r="Y65" s="80">
        <f t="shared" ca="1" si="12"/>
        <v>2487927</v>
      </c>
      <c r="Z65">
        <f t="shared" si="27"/>
        <v>76778488</v>
      </c>
      <c r="AA65">
        <f t="shared" si="28"/>
        <v>43083864</v>
      </c>
      <c r="AB65" s="3">
        <f t="shared" si="15"/>
        <v>33694624</v>
      </c>
      <c r="AC65" s="2">
        <f t="shared" si="29"/>
        <v>0.56114499155023734</v>
      </c>
      <c r="AD65" s="1">
        <f t="shared" ca="1" si="16"/>
        <v>2.9367732987273627E-8</v>
      </c>
      <c r="AE65" s="1">
        <v>93</v>
      </c>
      <c r="AH65" s="1">
        <f t="shared" si="1"/>
        <v>61</v>
      </c>
      <c r="AI65" s="1">
        <f t="shared" ca="1" si="17"/>
        <v>93</v>
      </c>
      <c r="AJ65" t="s">
        <v>227</v>
      </c>
      <c r="AK65">
        <v>53616</v>
      </c>
      <c r="AL65">
        <v>19664044200</v>
      </c>
      <c r="AM65">
        <v>279144.33599999972</v>
      </c>
      <c r="AN65">
        <v>20155416467.5</v>
      </c>
      <c r="AO65">
        <v>42552</v>
      </c>
      <c r="AP65">
        <v>53811</v>
      </c>
      <c r="AQ65">
        <v>22567985050</v>
      </c>
      <c r="AR65">
        <v>276827.0879999997</v>
      </c>
      <c r="AS65">
        <v>22567985050</v>
      </c>
      <c r="AU65" s="1">
        <f t="shared" si="18"/>
        <v>38</v>
      </c>
      <c r="AV65" s="1">
        <f t="shared" ca="1" si="19"/>
        <v>88</v>
      </c>
      <c r="AW65" t="s">
        <v>33</v>
      </c>
      <c r="AX65">
        <v>840.90000000000009</v>
      </c>
      <c r="AY65">
        <v>842.2</v>
      </c>
      <c r="AZ65">
        <v>842.2</v>
      </c>
      <c r="BA65">
        <v>842.80000000000007</v>
      </c>
      <c r="BC65" s="1">
        <f t="shared" si="20"/>
        <v>44</v>
      </c>
      <c r="BD65" t="s">
        <v>11</v>
      </c>
      <c r="BE65">
        <v>29354203.530000001</v>
      </c>
      <c r="BF65">
        <v>15892967</v>
      </c>
      <c r="BG65">
        <v>26644033.119999997</v>
      </c>
      <c r="BH65">
        <v>14326999</v>
      </c>
      <c r="BI65">
        <v>33681179.579999998</v>
      </c>
      <c r="BJ65">
        <v>18189197</v>
      </c>
      <c r="BK65">
        <v>19113539.27</v>
      </c>
      <c r="BL65">
        <v>10319320</v>
      </c>
      <c r="BO65" s="1">
        <f t="shared" si="21"/>
        <v>73</v>
      </c>
      <c r="BP65" t="s">
        <v>52</v>
      </c>
      <c r="BQ65" s="106">
        <v>0.52</v>
      </c>
      <c r="BR65" s="106">
        <v>0.51</v>
      </c>
      <c r="BS65" s="106">
        <v>0.51</v>
      </c>
      <c r="BT65" s="106">
        <v>0.51</v>
      </c>
      <c r="BU65" s="2">
        <f t="shared" ca="1" si="22"/>
        <v>0.51</v>
      </c>
      <c r="BV65" s="2"/>
      <c r="BW65" s="1" t="str">
        <f t="shared" si="23"/>
        <v>Queenstown-Lakes District</v>
      </c>
      <c r="BX65" s="107">
        <f t="shared" ca="1" si="24"/>
        <v>-2.3170731707316795E-3</v>
      </c>
      <c r="BY65" s="2">
        <f t="shared" ca="1" si="25"/>
        <v>0.52455967385543212</v>
      </c>
      <c r="BZ65" s="2">
        <f t="shared" ca="1" si="26"/>
        <v>5.0306035830764421E-2</v>
      </c>
    </row>
    <row r="66" spans="1:78" x14ac:dyDescent="0.25">
      <c r="A66">
        <v>70</v>
      </c>
      <c r="B66" t="s">
        <v>61</v>
      </c>
      <c r="C66" s="80">
        <v>1810</v>
      </c>
      <c r="D66" s="80">
        <f t="shared" ca="1" si="2"/>
        <v>1809.3000000000002</v>
      </c>
      <c r="E66" s="80">
        <v>7059954731</v>
      </c>
      <c r="F66" s="80">
        <f t="shared" ca="1" si="3"/>
        <v>7743324691</v>
      </c>
      <c r="G66" s="80">
        <v>14198</v>
      </c>
      <c r="H66" s="80">
        <f t="shared" ca="1" si="4"/>
        <v>13773</v>
      </c>
      <c r="I66" s="82">
        <v>981.62574760765551</v>
      </c>
      <c r="J66" s="80">
        <v>7341614</v>
      </c>
      <c r="K66" s="80">
        <v>4331667</v>
      </c>
      <c r="L66" s="80">
        <v>8364329</v>
      </c>
      <c r="M66" s="80">
        <v>4884216</v>
      </c>
      <c r="N66" s="80">
        <v>9126815</v>
      </c>
      <c r="O66" s="80">
        <v>5313934</v>
      </c>
      <c r="P66" s="80">
        <v>7498519</v>
      </c>
      <c r="Q66" s="80">
        <v>4287217</v>
      </c>
      <c r="R66" s="80">
        <f t="shared" ca="1" si="5"/>
        <v>8478028.5</v>
      </c>
      <c r="S66" s="80">
        <f t="shared" ca="1" si="6"/>
        <v>4928279</v>
      </c>
      <c r="T66" s="80">
        <f t="shared" ca="1" si="7"/>
        <v>9581515.5999999996</v>
      </c>
      <c r="U66" s="80">
        <f t="shared" ca="1" si="8"/>
        <v>5845681</v>
      </c>
      <c r="V66" s="80">
        <f t="shared" ca="1" si="9"/>
        <v>10001378.829999998</v>
      </c>
      <c r="W66" s="80">
        <f t="shared" ca="1" si="10"/>
        <v>5653232</v>
      </c>
      <c r="X66" s="80">
        <f t="shared" ca="1" si="11"/>
        <v>5905739.6699999999</v>
      </c>
      <c r="Y66" s="80">
        <f t="shared" ca="1" si="12"/>
        <v>3425329</v>
      </c>
      <c r="Z66">
        <f t="shared" si="27"/>
        <v>32331277</v>
      </c>
      <c r="AA66">
        <f t="shared" si="28"/>
        <v>18817034</v>
      </c>
      <c r="AB66" s="3">
        <f t="shared" si="15"/>
        <v>13514243</v>
      </c>
      <c r="AC66" s="2">
        <f t="shared" si="29"/>
        <v>0.5820071381653128</v>
      </c>
      <c r="AD66" s="1">
        <f t="shared" ca="1" si="16"/>
        <v>2.3365932234546926E-7</v>
      </c>
      <c r="AE66" s="1">
        <v>93</v>
      </c>
      <c r="AH66" s="1">
        <f t="shared" si="1"/>
        <v>59</v>
      </c>
      <c r="AI66" s="1">
        <f t="shared" ca="1" si="17"/>
        <v>93</v>
      </c>
      <c r="AJ66" t="s">
        <v>228</v>
      </c>
      <c r="AK66">
        <v>12003</v>
      </c>
      <c r="AL66">
        <v>6199320550</v>
      </c>
      <c r="AM66">
        <v>538093.75549999985</v>
      </c>
      <c r="AN66">
        <v>7036718466.5</v>
      </c>
      <c r="AO66">
        <v>41883</v>
      </c>
      <c r="AP66">
        <v>11947</v>
      </c>
      <c r="AQ66">
        <v>7327798350</v>
      </c>
      <c r="AR66">
        <v>537911.46149999916</v>
      </c>
      <c r="AS66">
        <v>7720522601.5</v>
      </c>
      <c r="AU66" s="1">
        <f t="shared" si="18"/>
        <v>60</v>
      </c>
      <c r="AV66" s="1">
        <f t="shared" ca="1" si="19"/>
        <v>89</v>
      </c>
      <c r="AW66" t="s">
        <v>41</v>
      </c>
      <c r="AX66">
        <v>690.7</v>
      </c>
      <c r="AY66">
        <v>690.40000000000009</v>
      </c>
      <c r="AZ66">
        <v>692.5</v>
      </c>
      <c r="BA66">
        <v>694.5</v>
      </c>
      <c r="BC66" s="1">
        <f t="shared" si="20"/>
        <v>45</v>
      </c>
      <c r="BD66" t="s">
        <v>67</v>
      </c>
      <c r="BE66">
        <v>17173872.260000002</v>
      </c>
      <c r="BF66">
        <v>8834384</v>
      </c>
      <c r="BG66">
        <v>17024363.309999999</v>
      </c>
      <c r="BH66">
        <v>8852130</v>
      </c>
      <c r="BI66">
        <v>17049635.120000001</v>
      </c>
      <c r="BJ66">
        <v>8830417</v>
      </c>
      <c r="BK66">
        <v>10198976.15</v>
      </c>
      <c r="BL66">
        <v>5325390</v>
      </c>
      <c r="BO66" s="1">
        <f t="shared" si="21"/>
        <v>74</v>
      </c>
      <c r="BP66" t="s">
        <v>53</v>
      </c>
      <c r="BQ66" s="106">
        <v>0.54</v>
      </c>
      <c r="BR66" s="106">
        <v>0.55000000000000004</v>
      </c>
      <c r="BS66" s="106">
        <v>0.56000000000000005</v>
      </c>
      <c r="BT66" s="106">
        <v>0.6</v>
      </c>
      <c r="BU66" s="2">
        <f t="shared" ca="1" si="22"/>
        <v>0.55000000000000004</v>
      </c>
      <c r="BV66" s="2"/>
      <c r="BW66" s="1" t="str">
        <f t="shared" si="23"/>
        <v>Waitaki District</v>
      </c>
      <c r="BX66" s="107">
        <f t="shared" ca="1" si="24"/>
        <v>-3.8674033149161221E-4</v>
      </c>
      <c r="BY66" s="2">
        <f t="shared" ca="1" si="25"/>
        <v>9.6795232552887037E-2</v>
      </c>
      <c r="BZ66" s="2">
        <f t="shared" ca="1" si="26"/>
        <v>-2.9933793492041134E-2</v>
      </c>
    </row>
    <row r="67" spans="1:78" x14ac:dyDescent="0.25">
      <c r="A67">
        <v>71</v>
      </c>
      <c r="B67" t="s">
        <v>62</v>
      </c>
      <c r="C67" s="80">
        <v>893</v>
      </c>
      <c r="D67" s="80">
        <f t="shared" ca="1" si="2"/>
        <v>894</v>
      </c>
      <c r="E67" s="80">
        <v>3366390925</v>
      </c>
      <c r="F67" s="80">
        <f t="shared" ca="1" si="3"/>
        <v>3442477550</v>
      </c>
      <c r="G67" s="80">
        <v>6943</v>
      </c>
      <c r="H67" s="80">
        <f t="shared" ca="1" si="4"/>
        <v>6579</v>
      </c>
      <c r="I67" s="82">
        <v>973.13795620437952</v>
      </c>
      <c r="J67" s="80">
        <v>3166194</v>
      </c>
      <c r="K67" s="80">
        <v>1807004</v>
      </c>
      <c r="L67" s="80">
        <v>3804472</v>
      </c>
      <c r="M67" s="80">
        <v>2167434</v>
      </c>
      <c r="N67" s="80">
        <v>3833149</v>
      </c>
      <c r="O67" s="80">
        <v>2182111</v>
      </c>
      <c r="P67" s="80">
        <v>2995274</v>
      </c>
      <c r="Q67" s="80">
        <v>1662354</v>
      </c>
      <c r="R67" s="80">
        <f t="shared" ca="1" si="5"/>
        <v>3050887.2800000003</v>
      </c>
      <c r="S67" s="80">
        <f t="shared" ca="1" si="6"/>
        <v>1687972</v>
      </c>
      <c r="T67" s="80">
        <f t="shared" ca="1" si="7"/>
        <v>3488534.39</v>
      </c>
      <c r="U67" s="80">
        <f t="shared" ca="1" si="8"/>
        <v>1931229</v>
      </c>
      <c r="V67" s="80">
        <f t="shared" ca="1" si="9"/>
        <v>4079733.0099999988</v>
      </c>
      <c r="W67" s="80">
        <f t="shared" ca="1" si="10"/>
        <v>2257711</v>
      </c>
      <c r="X67" s="80">
        <f t="shared" ca="1" si="11"/>
        <v>1541828.5499999998</v>
      </c>
      <c r="Y67" s="80">
        <f t="shared" ca="1" si="12"/>
        <v>863424</v>
      </c>
      <c r="Z67">
        <f t="shared" si="27"/>
        <v>13799089</v>
      </c>
      <c r="AA67">
        <f t="shared" si="28"/>
        <v>7818903</v>
      </c>
      <c r="AB67" s="3">
        <f t="shared" si="15"/>
        <v>5980186</v>
      </c>
      <c r="AC67" s="2">
        <f t="shared" si="29"/>
        <v>0.56662457934723087</v>
      </c>
      <c r="AD67" s="1">
        <f t="shared" ca="1" si="16"/>
        <v>2.5969668269877318E-7</v>
      </c>
      <c r="AE67" s="1">
        <v>94</v>
      </c>
      <c r="AH67" s="1">
        <f t="shared" si="1"/>
        <v>65</v>
      </c>
      <c r="AI67" s="1">
        <f t="shared" ca="1" si="17"/>
        <v>94</v>
      </c>
      <c r="AJ67" t="s">
        <v>229</v>
      </c>
      <c r="AK67">
        <v>20803</v>
      </c>
      <c r="AL67">
        <v>18124873600</v>
      </c>
      <c r="AM67">
        <v>1096858.2744999989</v>
      </c>
      <c r="AN67">
        <v>20224028560</v>
      </c>
      <c r="AO67">
        <v>42248</v>
      </c>
      <c r="AP67">
        <v>18827</v>
      </c>
      <c r="AQ67">
        <v>20235441050</v>
      </c>
      <c r="AR67">
        <v>1096368.6344999988</v>
      </c>
      <c r="AS67">
        <v>20078423612.5</v>
      </c>
      <c r="AU67" s="1">
        <f t="shared" si="18"/>
        <v>13</v>
      </c>
      <c r="AV67" s="1">
        <f t="shared" ca="1" si="19"/>
        <v>84</v>
      </c>
      <c r="AW67" t="s">
        <v>18</v>
      </c>
      <c r="AX67">
        <v>1029.8</v>
      </c>
      <c r="AY67">
        <v>1028.5</v>
      </c>
      <c r="AZ67">
        <v>1034.3</v>
      </c>
      <c r="BA67">
        <v>1052.5999999999999</v>
      </c>
      <c r="BC67" s="1">
        <f t="shared" si="20"/>
        <v>47</v>
      </c>
      <c r="BD67" t="s">
        <v>12</v>
      </c>
      <c r="BE67">
        <v>13075450.370000001</v>
      </c>
      <c r="BF67">
        <v>6486454</v>
      </c>
      <c r="BG67">
        <v>15298234.830000002</v>
      </c>
      <c r="BH67">
        <v>7881081</v>
      </c>
      <c r="BI67">
        <v>14526323.859999999</v>
      </c>
      <c r="BJ67">
        <v>7353227</v>
      </c>
      <c r="BK67">
        <v>6617863.46</v>
      </c>
      <c r="BL67">
        <v>3441289</v>
      </c>
      <c r="BO67" s="1">
        <f t="shared" si="21"/>
        <v>76</v>
      </c>
      <c r="BP67" t="s">
        <v>54</v>
      </c>
      <c r="BQ67" s="106">
        <v>0.61</v>
      </c>
      <c r="BR67" s="106">
        <v>0.62</v>
      </c>
      <c r="BS67" s="106">
        <v>0.63</v>
      </c>
      <c r="BT67" s="106">
        <v>0.63</v>
      </c>
      <c r="BU67" s="2">
        <f t="shared" ca="1" si="22"/>
        <v>0.54</v>
      </c>
      <c r="BV67" s="2"/>
      <c r="BW67" s="1" t="str">
        <f t="shared" si="23"/>
        <v>Gore District</v>
      </c>
      <c r="BX67" s="107">
        <f t="shared" ca="1" si="24"/>
        <v>1.1198208286674132E-3</v>
      </c>
      <c r="BY67" s="2">
        <f t="shared" ca="1" si="25"/>
        <v>2.26018387926827E-2</v>
      </c>
      <c r="BZ67" s="2">
        <f t="shared" ca="1" si="26"/>
        <v>-5.2426904796197611E-2</v>
      </c>
    </row>
    <row r="68" spans="1:78" x14ac:dyDescent="0.25">
      <c r="A68">
        <v>72</v>
      </c>
      <c r="B68" t="s">
        <v>63</v>
      </c>
      <c r="C68" s="80">
        <v>598</v>
      </c>
      <c r="D68" s="80">
        <f t="shared" ca="1" si="2"/>
        <v>597.20000000000005</v>
      </c>
      <c r="E68" s="80">
        <v>7102904325</v>
      </c>
      <c r="F68" s="80">
        <f t="shared" ca="1" si="3"/>
        <v>7740848681.46</v>
      </c>
      <c r="G68" s="80">
        <v>25221</v>
      </c>
      <c r="H68" s="80">
        <f t="shared" ca="1" si="4"/>
        <v>25185</v>
      </c>
      <c r="I68" s="82">
        <v>998.31301472798316</v>
      </c>
      <c r="J68" s="80">
        <v>14977931</v>
      </c>
      <c r="K68" s="80">
        <v>10186768</v>
      </c>
      <c r="L68" s="80">
        <v>11955248</v>
      </c>
      <c r="M68" s="80">
        <v>7797648</v>
      </c>
      <c r="N68" s="80">
        <v>11774278</v>
      </c>
      <c r="O68" s="80">
        <v>7061434</v>
      </c>
      <c r="P68" s="80">
        <v>11302932</v>
      </c>
      <c r="Q68" s="80">
        <v>6741652</v>
      </c>
      <c r="R68" s="80">
        <f t="shared" ca="1" si="5"/>
        <v>11413959.790000001</v>
      </c>
      <c r="S68" s="80">
        <f t="shared" ca="1" si="6"/>
        <v>6773138</v>
      </c>
      <c r="T68" s="80">
        <f t="shared" ca="1" si="7"/>
        <v>11130628.690000001</v>
      </c>
      <c r="U68" s="80">
        <f t="shared" ca="1" si="8"/>
        <v>6669303</v>
      </c>
      <c r="V68" s="80">
        <f t="shared" ca="1" si="9"/>
        <v>10860472.039999999</v>
      </c>
      <c r="W68" s="80">
        <f t="shared" ca="1" si="10"/>
        <v>6460095</v>
      </c>
      <c r="X68" s="80">
        <f t="shared" ca="1" si="11"/>
        <v>4330326.91</v>
      </c>
      <c r="Y68" s="80">
        <f t="shared" ca="1" si="12"/>
        <v>2599914</v>
      </c>
      <c r="Z68">
        <f t="shared" ref="Z68:Z82" si="30">SUM(J68,L68,N68,P68)</f>
        <v>50010389</v>
      </c>
      <c r="AA68">
        <f t="shared" ref="AA68:AA82" si="31">SUM(K68,M68,O68,Q68)</f>
        <v>31787502</v>
      </c>
      <c r="AB68" s="3">
        <f t="shared" si="15"/>
        <v>18222887</v>
      </c>
      <c r="AC68" s="2">
        <f t="shared" ref="AC68:AC82" si="32">AA68/Z68</f>
        <v>0.63561797129792375</v>
      </c>
      <c r="AD68" s="1">
        <f t="shared" ca="1" si="16"/>
        <v>7.714916342833901E-8</v>
      </c>
      <c r="AE68" s="1">
        <v>94</v>
      </c>
      <c r="AH68" s="1">
        <f t="shared" ref="AH68:AH80" si="33">MATCH(B68,AJ$4:AJ$81,0)</f>
        <v>66</v>
      </c>
      <c r="AI68" s="1">
        <f t="shared" ca="1" si="17"/>
        <v>94</v>
      </c>
      <c r="AJ68" t="s">
        <v>230</v>
      </c>
      <c r="AK68">
        <v>6943</v>
      </c>
      <c r="AL68">
        <v>3081233480</v>
      </c>
      <c r="AM68">
        <v>119504.1158</v>
      </c>
      <c r="AN68">
        <v>3366390925</v>
      </c>
      <c r="AO68">
        <v>41487</v>
      </c>
      <c r="AP68">
        <v>6579</v>
      </c>
      <c r="AQ68">
        <v>3442477550</v>
      </c>
      <c r="AR68">
        <v>119544.86000000003</v>
      </c>
      <c r="AS68">
        <v>3442477550</v>
      </c>
      <c r="AU68" s="1">
        <f t="shared" si="18"/>
        <v>21</v>
      </c>
      <c r="AV68" s="1">
        <f t="shared" ca="1" si="19"/>
        <v>90</v>
      </c>
      <c r="AW68" t="s">
        <v>56</v>
      </c>
      <c r="AX68">
        <v>673.40000000000009</v>
      </c>
      <c r="AY68">
        <v>673.40000000000009</v>
      </c>
      <c r="AZ68">
        <v>673.40000000000009</v>
      </c>
      <c r="BA68">
        <v>673.4</v>
      </c>
      <c r="BC68" s="1">
        <f t="shared" si="20"/>
        <v>48</v>
      </c>
      <c r="BD68" t="s">
        <v>13</v>
      </c>
      <c r="BE68">
        <v>8431947.459999999</v>
      </c>
      <c r="BF68">
        <v>5043952</v>
      </c>
      <c r="BG68">
        <v>10710180.950000001</v>
      </c>
      <c r="BH68">
        <v>6357164</v>
      </c>
      <c r="BI68">
        <v>9628624.7100000009</v>
      </c>
      <c r="BJ68">
        <v>5778606</v>
      </c>
      <c r="BK68">
        <v>4376789.3100000005</v>
      </c>
      <c r="BL68">
        <v>2712646</v>
      </c>
      <c r="BO68" s="1">
        <f t="shared" si="21"/>
        <v>77</v>
      </c>
      <c r="BP68" t="s">
        <v>55</v>
      </c>
      <c r="BQ68" s="106">
        <v>0.62</v>
      </c>
      <c r="BR68" s="106">
        <v>0.61</v>
      </c>
      <c r="BS68" s="106">
        <v>0.6</v>
      </c>
      <c r="BT68" s="106">
        <v>0.56999999999999995</v>
      </c>
      <c r="BU68" s="2">
        <f t="shared" ca="1" si="22"/>
        <v>0.51</v>
      </c>
      <c r="BV68" s="2"/>
      <c r="BW68" s="1" t="str">
        <f t="shared" si="23"/>
        <v>Invercargill City</v>
      </c>
      <c r="BX68" s="107">
        <f t="shared" ca="1" si="24"/>
        <v>-1.3377926421403923E-3</v>
      </c>
      <c r="BY68" s="2">
        <f t="shared" ca="1" si="25"/>
        <v>8.9814578272529394E-2</v>
      </c>
      <c r="BZ68" s="2">
        <f t="shared" ca="1" si="26"/>
        <v>-1.4273819436184131E-3</v>
      </c>
    </row>
    <row r="69" spans="1:78" x14ac:dyDescent="0.25">
      <c r="A69">
        <v>73</v>
      </c>
      <c r="B69" t="s">
        <v>64</v>
      </c>
      <c r="C69" s="80">
        <v>4970</v>
      </c>
      <c r="D69" s="80">
        <f t="shared" ref="D69:D81" ca="1" si="34">OFFSET($AX$3,AU69,0)</f>
        <v>4968.8999999999996</v>
      </c>
      <c r="E69" s="80">
        <v>20224028560</v>
      </c>
      <c r="F69" s="80">
        <f t="shared" ref="F69:F81" ca="1" si="35">OFFSET(AS$3,AH69,0)</f>
        <v>20078423612.5</v>
      </c>
      <c r="G69" s="80">
        <v>20803</v>
      </c>
      <c r="H69" s="80">
        <f t="shared" ref="H69:H81" ca="1" si="36">OFFSET(AP$3,AH69,0)</f>
        <v>18827</v>
      </c>
      <c r="I69" s="82">
        <v>941.48036539269219</v>
      </c>
      <c r="J69" s="80">
        <v>20751246</v>
      </c>
      <c r="K69" s="80">
        <v>11476635</v>
      </c>
      <c r="L69" s="80">
        <v>21591661</v>
      </c>
      <c r="M69" s="80">
        <v>12041298</v>
      </c>
      <c r="N69" s="80">
        <v>27999147</v>
      </c>
      <c r="O69" s="80">
        <v>15589927</v>
      </c>
      <c r="P69" s="80">
        <v>21213111</v>
      </c>
      <c r="Q69" s="80">
        <v>11423893</v>
      </c>
      <c r="R69" s="80">
        <f t="shared" ref="R69:R81" ca="1" si="37">OFFSET($BE$3,$BC69,0)</f>
        <v>21756852.710000001</v>
      </c>
      <c r="S69" s="80">
        <f t="shared" ref="S69:S81" ca="1" si="38">OFFSET($BE$3,$BC69,1)</f>
        <v>11649928</v>
      </c>
      <c r="T69" s="80">
        <f t="shared" ref="T69:T81" ca="1" si="39">OFFSET($BE$3,$BC69,2)</f>
        <v>23818073.970000003</v>
      </c>
      <c r="U69" s="80">
        <f t="shared" ref="U69:U81" ca="1" si="40">OFFSET($BE$3,$BC69,3)</f>
        <v>12739540</v>
      </c>
      <c r="V69" s="80">
        <f t="shared" ref="V69:V81" ca="1" si="41">OFFSET($BE$3,$BC69,4)</f>
        <v>26179373.470000006</v>
      </c>
      <c r="W69" s="80">
        <f t="shared" ref="W69:W81" ca="1" si="42">OFFSET($BE$3,$BC69,5)</f>
        <v>14091949</v>
      </c>
      <c r="X69" s="80">
        <f t="shared" ref="X69:X81" ca="1" si="43">OFFSET($BE$3,$BC69,6)</f>
        <v>10681944.449999997</v>
      </c>
      <c r="Y69" s="80">
        <f t="shared" ref="Y69:Y81" ca="1" si="44">OFFSET($BE$3,$BC69,7)</f>
        <v>5768250</v>
      </c>
      <c r="Z69">
        <f t="shared" si="30"/>
        <v>91555165</v>
      </c>
      <c r="AA69">
        <f t="shared" si="31"/>
        <v>50531753</v>
      </c>
      <c r="AB69" s="3">
        <f t="shared" ref="AB69:AB81" si="45">Z69-AA69</f>
        <v>41023412</v>
      </c>
      <c r="AC69" s="2">
        <f t="shared" si="32"/>
        <v>0.55192684104714351</v>
      </c>
      <c r="AD69" s="1">
        <f t="shared" ref="AD69:AD81" ca="1" si="46">D69/F69</f>
        <v>2.4747460736442313E-7</v>
      </c>
      <c r="AE69" s="1">
        <v>94</v>
      </c>
      <c r="AH69" s="1">
        <f t="shared" si="33"/>
        <v>64</v>
      </c>
      <c r="AI69" s="1">
        <f t="shared" ref="AI69:AI70" ca="1" si="47">OFFSET(AE$3,MATCH(AJ69,B$4:B$81,0),0)</f>
        <v>94</v>
      </c>
      <c r="AJ69" t="s">
        <v>231</v>
      </c>
      <c r="AK69">
        <v>25221</v>
      </c>
      <c r="AL69">
        <v>7071644225</v>
      </c>
      <c r="AM69">
        <v>29467.202200000007</v>
      </c>
      <c r="AN69">
        <v>7102904325.0999985</v>
      </c>
      <c r="AO69">
        <v>41821</v>
      </c>
      <c r="AP69">
        <v>25185</v>
      </c>
      <c r="AQ69">
        <v>7291535508</v>
      </c>
      <c r="AR69">
        <v>29388.292199999996</v>
      </c>
      <c r="AS69">
        <v>7740848681.46</v>
      </c>
      <c r="AU69" s="1">
        <f t="shared" ref="AU69:AU81" si="48">MATCH(B69,AW$4:AW$81,0)</f>
        <v>46</v>
      </c>
      <c r="AV69" s="1">
        <f t="shared" ref="AV69:AV70" ca="1" si="49">OFFSET(AE$3,MATCH(AW69,B$4:B$81,0),0)</f>
        <v>84</v>
      </c>
      <c r="AW69" t="s">
        <v>251</v>
      </c>
      <c r="AX69">
        <v>903</v>
      </c>
      <c r="AY69">
        <v>904.1</v>
      </c>
      <c r="AZ69">
        <v>904.69999999999993</v>
      </c>
      <c r="BA69">
        <v>907.90000000000009</v>
      </c>
      <c r="BC69" s="1">
        <f t="shared" ref="BC69:BC81" si="50">MATCH(B69,BD$4:BD$81,0)</f>
        <v>49</v>
      </c>
      <c r="BD69" t="s">
        <v>34</v>
      </c>
      <c r="BE69">
        <v>3181825.28</v>
      </c>
      <c r="BF69">
        <v>1735978</v>
      </c>
      <c r="BG69">
        <v>2726423.3300000005</v>
      </c>
      <c r="BH69">
        <v>1474435</v>
      </c>
      <c r="BI69">
        <v>3000292.11</v>
      </c>
      <c r="BJ69">
        <v>1611168</v>
      </c>
      <c r="BK69">
        <v>1262216.6900000002</v>
      </c>
      <c r="BL69">
        <v>681597</v>
      </c>
      <c r="BO69" s="1">
        <f t="shared" ref="BO69:BO81" si="51">MATCH(B69,BP$4:BP$81,0)</f>
        <v>78</v>
      </c>
      <c r="BP69" t="s">
        <v>73</v>
      </c>
      <c r="BQ69" s="106">
        <v>0.67</v>
      </c>
      <c r="BR69" s="106">
        <v>0.66</v>
      </c>
      <c r="BS69" s="106">
        <v>0.65</v>
      </c>
      <c r="BT69" s="106">
        <v>0.57999999999999996</v>
      </c>
      <c r="BU69" s="2">
        <f t="shared" ref="BU69:BU81" ca="1" si="52">OFFSET($BT$3,BO69,0)</f>
        <v>0.51</v>
      </c>
      <c r="BV69" s="2"/>
      <c r="BW69" s="1" t="str">
        <f t="shared" ref="BW69:BW82" si="53">B69</f>
        <v>Southland District</v>
      </c>
      <c r="BX69" s="107">
        <f t="shared" ref="BX69:BX81" ca="1" si="54">(D69-C69)/C69</f>
        <v>-2.2132796780691426E-4</v>
      </c>
      <c r="BY69" s="2">
        <f t="shared" ref="BY69:BY81" ca="1" si="55">(F69-E69)/E69</f>
        <v>-7.1996015565357766E-3</v>
      </c>
      <c r="BZ69" s="2">
        <f t="shared" ref="BZ69:BZ81" ca="1" si="56">(H69-G69)/G69</f>
        <v>-9.498630005287699E-2</v>
      </c>
    </row>
    <row r="70" spans="1:78" x14ac:dyDescent="0.25">
      <c r="A70">
        <v>74</v>
      </c>
      <c r="B70" t="s">
        <v>65</v>
      </c>
      <c r="C70" s="80">
        <v>179</v>
      </c>
      <c r="D70" s="80">
        <f t="shared" ca="1" si="34"/>
        <v>178.8</v>
      </c>
      <c r="E70" s="80">
        <v>122691900</v>
      </c>
      <c r="F70" s="80">
        <f t="shared" ca="1" si="35"/>
        <v>143247905</v>
      </c>
      <c r="G70" s="80">
        <v>559</v>
      </c>
      <c r="H70" s="80">
        <f t="shared" ca="1" si="36"/>
        <v>557</v>
      </c>
      <c r="I70" s="82">
        <v>975.58477508650515</v>
      </c>
      <c r="J70" s="80">
        <v>5198105</v>
      </c>
      <c r="K70" s="80">
        <v>4752383</v>
      </c>
      <c r="L70" s="80">
        <v>3721070</v>
      </c>
      <c r="M70" s="80">
        <v>3279704</v>
      </c>
      <c r="N70" s="80">
        <v>3888390</v>
      </c>
      <c r="O70" s="80">
        <v>3412616</v>
      </c>
      <c r="P70" s="80">
        <v>3241186</v>
      </c>
      <c r="Q70" s="80">
        <v>2858001</v>
      </c>
      <c r="R70" s="80">
        <f t="shared" ca="1" si="37"/>
        <v>3314104.14</v>
      </c>
      <c r="S70" s="80">
        <f t="shared" ca="1" si="38"/>
        <v>2922299</v>
      </c>
      <c r="T70" s="80">
        <f t="shared" ca="1" si="39"/>
        <v>3670382.38</v>
      </c>
      <c r="U70" s="80">
        <f t="shared" ca="1" si="40"/>
        <v>3279039</v>
      </c>
      <c r="V70" s="80">
        <f t="shared" ca="1" si="41"/>
        <v>4918880.55</v>
      </c>
      <c r="W70" s="80">
        <f t="shared" ca="1" si="42"/>
        <v>4479632</v>
      </c>
      <c r="X70" s="80">
        <f t="shared" ca="1" si="43"/>
        <v>1494964.4600000002</v>
      </c>
      <c r="Y70" s="80">
        <f t="shared" ca="1" si="44"/>
        <v>1345468</v>
      </c>
      <c r="Z70">
        <f t="shared" si="30"/>
        <v>16048751</v>
      </c>
      <c r="AA70">
        <f t="shared" si="31"/>
        <v>14302704</v>
      </c>
      <c r="AB70" s="3">
        <f t="shared" si="45"/>
        <v>1746047</v>
      </c>
      <c r="AC70" s="2">
        <f t="shared" si="32"/>
        <v>0.89120355845760213</v>
      </c>
      <c r="AD70" s="1">
        <f t="shared" ca="1" si="46"/>
        <v>1.248185793711957E-6</v>
      </c>
      <c r="AE70" s="1">
        <v>74</v>
      </c>
      <c r="AH70" s="1">
        <f t="shared" si="33"/>
        <v>67</v>
      </c>
      <c r="AI70" s="1">
        <f t="shared" ca="1" si="47"/>
        <v>74</v>
      </c>
      <c r="AJ70" t="s">
        <v>242</v>
      </c>
      <c r="AK70">
        <v>559</v>
      </c>
      <c r="AL70">
        <v>122691900</v>
      </c>
      <c r="AM70">
        <v>64726.329999999987</v>
      </c>
      <c r="AN70">
        <v>122691900</v>
      </c>
      <c r="AO70">
        <v>42248</v>
      </c>
      <c r="AP70">
        <v>557</v>
      </c>
      <c r="AQ70">
        <v>129287250</v>
      </c>
      <c r="AR70">
        <v>63776.33</v>
      </c>
      <c r="AS70">
        <v>143247905</v>
      </c>
      <c r="AU70" s="1">
        <f t="shared" si="48"/>
        <v>7</v>
      </c>
      <c r="AV70" s="1">
        <f t="shared" ca="1" si="49"/>
        <v>81</v>
      </c>
      <c r="AW70" t="s">
        <v>2</v>
      </c>
      <c r="AX70">
        <v>1778.9</v>
      </c>
      <c r="AY70">
        <v>1780.3000000000002</v>
      </c>
      <c r="AZ70">
        <v>1780.1999999999998</v>
      </c>
      <c r="BA70">
        <v>1784.3000000000002</v>
      </c>
      <c r="BC70" s="1">
        <f t="shared" si="50"/>
        <v>19</v>
      </c>
      <c r="BD70" t="s">
        <v>72</v>
      </c>
      <c r="BE70">
        <v>96524797.599999994</v>
      </c>
      <c r="BF70">
        <v>53185742</v>
      </c>
      <c r="BG70">
        <v>105021778.48999999</v>
      </c>
      <c r="BH70">
        <v>57307705</v>
      </c>
      <c r="BI70">
        <v>112705401.38999999</v>
      </c>
      <c r="BJ70">
        <v>60539949</v>
      </c>
      <c r="BK70">
        <v>72995611.480000004</v>
      </c>
      <c r="BL70">
        <v>39477243</v>
      </c>
      <c r="BO70" s="1">
        <f t="shared" si="51"/>
        <v>68</v>
      </c>
      <c r="BP70" t="s">
        <v>56</v>
      </c>
      <c r="BQ70" s="106">
        <v>0.59</v>
      </c>
      <c r="BR70" s="106">
        <v>0.57999999999999996</v>
      </c>
      <c r="BS70" s="106">
        <v>0.57999999999999996</v>
      </c>
      <c r="BT70" s="106">
        <v>0.57999999999999996</v>
      </c>
      <c r="BU70" s="2">
        <f t="shared" ca="1" si="52"/>
        <v>0.85</v>
      </c>
      <c r="BV70" s="2"/>
      <c r="BW70" s="1" t="str">
        <f t="shared" si="53"/>
        <v>Chatham Islands Territory</v>
      </c>
      <c r="BX70" s="107">
        <f t="shared" ca="1" si="54"/>
        <v>-1.1173184357541265E-3</v>
      </c>
      <c r="BY70" s="2">
        <f t="shared" ca="1" si="55"/>
        <v>0.16754166330458653</v>
      </c>
      <c r="BZ70" s="2">
        <f t="shared" ca="1" si="56"/>
        <v>-3.5778175313059034E-3</v>
      </c>
    </row>
    <row r="71" spans="1:78" x14ac:dyDescent="0.25">
      <c r="A71">
        <v>81</v>
      </c>
      <c r="B71" t="s">
        <v>66</v>
      </c>
      <c r="C71" s="80">
        <v>5891</v>
      </c>
      <c r="D71" s="80">
        <f t="shared" ca="1" si="34"/>
        <v>5890.5</v>
      </c>
      <c r="E71" s="80">
        <v>37044292435</v>
      </c>
      <c r="F71" s="80">
        <f t="shared" ca="1" si="35"/>
        <v>44366044525.584702</v>
      </c>
      <c r="G71" s="80">
        <v>90772</v>
      </c>
      <c r="H71" s="80">
        <f t="shared" ca="1" si="36"/>
        <v>91570</v>
      </c>
      <c r="I71" s="82">
        <v>1042.1326923076922</v>
      </c>
      <c r="J71" s="80">
        <v>1425890</v>
      </c>
      <c r="K71" s="80">
        <v>822879</v>
      </c>
      <c r="L71" s="80">
        <v>1220728</v>
      </c>
      <c r="M71" s="80">
        <v>702876</v>
      </c>
      <c r="N71" s="80">
        <v>1330525</v>
      </c>
      <c r="O71" s="80">
        <v>768291</v>
      </c>
      <c r="P71" s="80">
        <v>1231024</v>
      </c>
      <c r="Q71" s="80">
        <v>638921</v>
      </c>
      <c r="R71" s="80">
        <f t="shared" ca="1" si="37"/>
        <v>1209861.1700000002</v>
      </c>
      <c r="S71" s="80">
        <f t="shared" ca="1" si="38"/>
        <v>618387</v>
      </c>
      <c r="T71" s="80">
        <f t="shared" ca="1" si="39"/>
        <v>1367092.84</v>
      </c>
      <c r="U71" s="80">
        <f t="shared" ca="1" si="40"/>
        <v>696831</v>
      </c>
      <c r="V71" s="80">
        <f t="shared" ca="1" si="41"/>
        <v>1507490.62</v>
      </c>
      <c r="W71" s="80">
        <f t="shared" ca="1" si="42"/>
        <v>781239</v>
      </c>
      <c r="X71" s="80">
        <f t="shared" ca="1" si="43"/>
        <v>1069061.2</v>
      </c>
      <c r="Y71" s="80">
        <f t="shared" ca="1" si="44"/>
        <v>558868</v>
      </c>
      <c r="Z71">
        <f t="shared" si="30"/>
        <v>5208167</v>
      </c>
      <c r="AA71">
        <f t="shared" si="31"/>
        <v>2932967</v>
      </c>
      <c r="AB71" s="3">
        <f t="shared" si="45"/>
        <v>2275200</v>
      </c>
      <c r="AC71" s="2">
        <f t="shared" si="32"/>
        <v>0.56314764868330836</v>
      </c>
      <c r="AD71" s="1">
        <f t="shared" ca="1" si="46"/>
        <v>1.3277045684347875E-7</v>
      </c>
      <c r="AH71">
        <f t="shared" si="33"/>
        <v>68</v>
      </c>
      <c r="AI71" s="8">
        <f>A71</f>
        <v>81</v>
      </c>
      <c r="AJ71" s="16" t="str">
        <f>B71</f>
        <v>Northland Regional</v>
      </c>
      <c r="AK71" s="16">
        <f ca="1">SUMIF($AI$4:$AI$70,$AI71,AK$4:AK$70)</f>
        <v>90772</v>
      </c>
      <c r="AL71" s="16">
        <f t="shared" ref="AL71:AS81" ca="1" si="57">SUMIF($AI$4:$AI$70,$AI71,AL$4:AL$70)</f>
        <v>36771111250</v>
      </c>
      <c r="AM71" s="16">
        <f t="shared" ca="1" si="57"/>
        <v>1000692.3411999997</v>
      </c>
      <c r="AN71" s="16">
        <f t="shared" ca="1" si="57"/>
        <v>37044292434</v>
      </c>
      <c r="AO71" s="16">
        <f t="shared" ca="1" si="57"/>
        <v>125618</v>
      </c>
      <c r="AP71" s="16">
        <f t="shared" ca="1" si="57"/>
        <v>91570</v>
      </c>
      <c r="AQ71" s="16">
        <f t="shared" ca="1" si="57"/>
        <v>38869378010</v>
      </c>
      <c r="AR71" s="16">
        <f t="shared" ca="1" si="57"/>
        <v>1001171.8212000001</v>
      </c>
      <c r="AS71" s="9">
        <f t="shared" ca="1" si="57"/>
        <v>44366044525.584702</v>
      </c>
      <c r="AU71" s="1">
        <f t="shared" si="48"/>
        <v>68</v>
      </c>
      <c r="AV71" s="8">
        <f>A71</f>
        <v>81</v>
      </c>
      <c r="AW71" s="16" t="str">
        <f>B71</f>
        <v>Northland Regional</v>
      </c>
      <c r="AX71" s="16">
        <f ca="1">SUMIF($AV$4:$AV$70,$AV71,AX$4:AX$70)</f>
        <v>5890.5</v>
      </c>
      <c r="AY71" s="16">
        <f t="shared" ref="AY71:BA81" ca="1" si="58">SUMIF($AV$4:$AV$70,$AV71,AY$4:AY$70)</f>
        <v>5893.9000000000005</v>
      </c>
      <c r="AZ71" s="16">
        <f t="shared" ca="1" si="58"/>
        <v>5899.3</v>
      </c>
      <c r="BA71" s="9">
        <f t="shared" ca="1" si="58"/>
        <v>5901.2</v>
      </c>
      <c r="BC71" s="1">
        <f t="shared" si="50"/>
        <v>38</v>
      </c>
      <c r="BD71" t="s">
        <v>257</v>
      </c>
      <c r="BE71">
        <v>13068603.969999999</v>
      </c>
      <c r="BF71">
        <v>6402303</v>
      </c>
      <c r="BG71">
        <v>15452363.310000001</v>
      </c>
      <c r="BH71">
        <v>7568373</v>
      </c>
      <c r="BI71">
        <v>14104899.66</v>
      </c>
      <c r="BJ71">
        <v>6920772</v>
      </c>
      <c r="BK71">
        <v>6203452.9500000011</v>
      </c>
      <c r="BL71">
        <v>3163761</v>
      </c>
      <c r="BO71" s="1">
        <f t="shared" si="51"/>
        <v>3</v>
      </c>
      <c r="BP71" t="s">
        <v>254</v>
      </c>
      <c r="BQ71" s="106">
        <v>0.9</v>
      </c>
      <c r="BR71" s="106">
        <v>0.89</v>
      </c>
      <c r="BS71" s="106">
        <v>0.88</v>
      </c>
      <c r="BT71" s="106">
        <v>0.85</v>
      </c>
      <c r="BU71" s="2">
        <f t="shared" ca="1" si="52"/>
        <v>0.54</v>
      </c>
      <c r="BV71" s="2"/>
      <c r="BW71" s="1" t="str">
        <f t="shared" si="53"/>
        <v>Northland Regional</v>
      </c>
      <c r="BX71" s="107">
        <f t="shared" ca="1" si="54"/>
        <v>-8.4875233406891867E-5</v>
      </c>
      <c r="BY71" s="2">
        <f t="shared" ca="1" si="55"/>
        <v>0.19764858792840651</v>
      </c>
      <c r="BZ71" s="2">
        <f t="shared" ca="1" si="56"/>
        <v>8.791257215881549E-3</v>
      </c>
    </row>
    <row r="72" spans="1:78" x14ac:dyDescent="0.25">
      <c r="A72">
        <v>83</v>
      </c>
      <c r="B72" t="s">
        <v>67</v>
      </c>
      <c r="C72" s="80">
        <v>9591</v>
      </c>
      <c r="D72" s="80">
        <f t="shared" ca="1" si="34"/>
        <v>9590.2000000000007</v>
      </c>
      <c r="E72" s="80">
        <v>125746960416</v>
      </c>
      <c r="F72" s="80">
        <f t="shared" ca="1" si="35"/>
        <v>145020835595.85001</v>
      </c>
      <c r="G72" s="80">
        <v>231837</v>
      </c>
      <c r="H72" s="80">
        <f t="shared" ca="1" si="36"/>
        <v>204182</v>
      </c>
      <c r="I72" s="82">
        <v>1011.5041228877816</v>
      </c>
      <c r="J72" s="80">
        <v>17493743</v>
      </c>
      <c r="K72" s="80">
        <v>9414313</v>
      </c>
      <c r="L72" s="80">
        <v>17447192</v>
      </c>
      <c r="M72" s="80">
        <v>9327814</v>
      </c>
      <c r="N72" s="80">
        <v>17845297</v>
      </c>
      <c r="O72" s="80">
        <v>9525501</v>
      </c>
      <c r="P72" s="80">
        <v>17237915</v>
      </c>
      <c r="Q72" s="80">
        <v>8886384</v>
      </c>
      <c r="R72" s="80">
        <f t="shared" ca="1" si="37"/>
        <v>17173872.260000002</v>
      </c>
      <c r="S72" s="80">
        <f t="shared" ca="1" si="38"/>
        <v>8834384</v>
      </c>
      <c r="T72" s="80">
        <f t="shared" ca="1" si="39"/>
        <v>17024363.309999999</v>
      </c>
      <c r="U72" s="80">
        <f t="shared" ca="1" si="40"/>
        <v>8852130</v>
      </c>
      <c r="V72" s="80">
        <f t="shared" ca="1" si="41"/>
        <v>17049635.120000001</v>
      </c>
      <c r="W72" s="80">
        <f t="shared" ca="1" si="42"/>
        <v>8830417</v>
      </c>
      <c r="X72" s="80">
        <f t="shared" ca="1" si="43"/>
        <v>10198976.15</v>
      </c>
      <c r="Y72" s="80">
        <f t="shared" ca="1" si="44"/>
        <v>5325390</v>
      </c>
      <c r="Z72">
        <f t="shared" si="30"/>
        <v>70024147</v>
      </c>
      <c r="AA72">
        <f t="shared" si="31"/>
        <v>37154012</v>
      </c>
      <c r="AB72" s="3">
        <f t="shared" si="45"/>
        <v>32870135</v>
      </c>
      <c r="AC72" s="2">
        <f t="shared" si="32"/>
        <v>0.53058856968296952</v>
      </c>
      <c r="AD72" s="1">
        <f t="shared" ca="1" si="46"/>
        <v>6.6129807903785371E-8</v>
      </c>
      <c r="AH72" s="1">
        <f t="shared" si="33"/>
        <v>69</v>
      </c>
      <c r="AI72" s="10">
        <f t="shared" ref="AI72:AI81" si="59">A72</f>
        <v>83</v>
      </c>
      <c r="AJ72" s="14" t="str">
        <f t="shared" ref="AJ72:AJ81" si="60">B72</f>
        <v>Waikato Regional</v>
      </c>
      <c r="AK72" s="14">
        <f t="shared" ref="AK72:AK81" ca="1" si="61">SUMIF($AI$4:$AI$70,$AI72,AK$4:AK$70)</f>
        <v>202468</v>
      </c>
      <c r="AL72" s="14">
        <f t="shared" ca="1" si="57"/>
        <v>109585410510</v>
      </c>
      <c r="AM72" s="14">
        <f t="shared" ca="1" si="57"/>
        <v>2260482.0356000001</v>
      </c>
      <c r="AN72" s="14">
        <f t="shared" ca="1" si="57"/>
        <v>113643752464.2</v>
      </c>
      <c r="AO72" s="14">
        <f t="shared" ca="1" si="57"/>
        <v>420222</v>
      </c>
      <c r="AP72" s="14">
        <f t="shared" ca="1" si="57"/>
        <v>204182</v>
      </c>
      <c r="AQ72" s="14">
        <f t="shared" ca="1" si="57"/>
        <v>124076969425</v>
      </c>
      <c r="AR72" s="14">
        <f t="shared" ca="1" si="57"/>
        <v>2247823.9717999999</v>
      </c>
      <c r="AS72" s="11">
        <f t="shared" ca="1" si="57"/>
        <v>145020835595.85001</v>
      </c>
      <c r="AU72" s="1">
        <f t="shared" si="48"/>
        <v>69</v>
      </c>
      <c r="AV72" s="10">
        <f t="shared" ref="AV72:AV81" si="62">A72</f>
        <v>83</v>
      </c>
      <c r="AW72" s="14" t="str">
        <f t="shared" ref="AW72:AW81" si="63">B72</f>
        <v>Waikato Regional</v>
      </c>
      <c r="AX72" s="14">
        <f t="shared" ref="AX72:AX81" ca="1" si="64">SUMIF($AV$4:$AV$70,$AV72,AX$4:AX$70)</f>
        <v>9590.2000000000007</v>
      </c>
      <c r="AY72" s="14">
        <f t="shared" ca="1" si="58"/>
        <v>9546.3000000000011</v>
      </c>
      <c r="AZ72" s="14">
        <f t="shared" ca="1" si="58"/>
        <v>9575</v>
      </c>
      <c r="BA72" s="11">
        <f t="shared" ca="1" si="58"/>
        <v>9627.3000000000011</v>
      </c>
      <c r="BC72" s="1">
        <f t="shared" si="50"/>
        <v>63</v>
      </c>
      <c r="BD72" t="s">
        <v>35</v>
      </c>
      <c r="BE72">
        <v>5308108.0600000005</v>
      </c>
      <c r="BF72">
        <v>2376761</v>
      </c>
      <c r="BG72">
        <v>13885502.9</v>
      </c>
      <c r="BH72">
        <v>9106774</v>
      </c>
      <c r="BI72">
        <v>7137923.3200000003</v>
      </c>
      <c r="BJ72">
        <v>3195838</v>
      </c>
      <c r="BK72">
        <v>2016331.9400000002</v>
      </c>
      <c r="BL72">
        <v>947676</v>
      </c>
      <c r="BO72" s="1">
        <f t="shared" si="51"/>
        <v>14</v>
      </c>
      <c r="BP72" t="s">
        <v>57</v>
      </c>
      <c r="BQ72" s="106">
        <v>0.51</v>
      </c>
      <c r="BR72" s="106">
        <v>0.51</v>
      </c>
      <c r="BS72" s="106">
        <v>0.51</v>
      </c>
      <c r="BT72" s="106">
        <v>0.51</v>
      </c>
      <c r="BU72" s="2">
        <f t="shared" ca="1" si="52"/>
        <v>0.51</v>
      </c>
      <c r="BV72" s="2"/>
      <c r="BW72" s="1" t="str">
        <f t="shared" si="53"/>
        <v>Waikato Regional</v>
      </c>
      <c r="BX72" s="107">
        <f t="shared" ca="1" si="54"/>
        <v>-8.3411531644173961E-5</v>
      </c>
      <c r="BY72" s="2">
        <f t="shared" ca="1" si="55"/>
        <v>0.15327507810994057</v>
      </c>
      <c r="BZ72" s="2">
        <f t="shared" ca="1" si="56"/>
        <v>-0.11928639518282241</v>
      </c>
    </row>
    <row r="73" spans="1:78" x14ac:dyDescent="0.25">
      <c r="A73">
        <v>84</v>
      </c>
      <c r="B73" t="s">
        <v>68</v>
      </c>
      <c r="C73" s="80">
        <v>3852</v>
      </c>
      <c r="D73" s="80">
        <f t="shared" ca="1" si="34"/>
        <v>3849.3</v>
      </c>
      <c r="E73" s="80">
        <v>51944021294</v>
      </c>
      <c r="F73" s="80">
        <f t="shared" ca="1" si="35"/>
        <v>88157802696.5</v>
      </c>
      <c r="G73" s="80">
        <v>99213</v>
      </c>
      <c r="H73" s="80">
        <f t="shared" ca="1" si="36"/>
        <v>131192</v>
      </c>
      <c r="I73" s="82">
        <v>1014.0994240305541</v>
      </c>
      <c r="J73" s="80">
        <v>10016107</v>
      </c>
      <c r="K73" s="80">
        <v>5325113</v>
      </c>
      <c r="L73" s="80">
        <v>9818753</v>
      </c>
      <c r="M73" s="80">
        <v>5228400</v>
      </c>
      <c r="N73" s="80">
        <v>10115928</v>
      </c>
      <c r="O73" s="80">
        <v>5368666</v>
      </c>
      <c r="P73" s="80">
        <v>9946656</v>
      </c>
      <c r="Q73" s="80">
        <v>5132197</v>
      </c>
      <c r="R73" s="80">
        <f t="shared" ca="1" si="37"/>
        <v>9848198.2400000002</v>
      </c>
      <c r="S73" s="80">
        <f t="shared" ca="1" si="38"/>
        <v>5033625</v>
      </c>
      <c r="T73" s="80">
        <f t="shared" ca="1" si="39"/>
        <v>10772769.979999999</v>
      </c>
      <c r="U73" s="80">
        <f t="shared" ca="1" si="40"/>
        <v>5493272</v>
      </c>
      <c r="V73" s="80">
        <f t="shared" ca="1" si="41"/>
        <v>12546278.950000001</v>
      </c>
      <c r="W73" s="80">
        <f t="shared" ca="1" si="42"/>
        <v>6382647</v>
      </c>
      <c r="X73" s="80">
        <f t="shared" ca="1" si="43"/>
        <v>6829912.2400000002</v>
      </c>
      <c r="Y73" s="80">
        <f t="shared" ca="1" si="44"/>
        <v>3549192</v>
      </c>
      <c r="Z73">
        <f t="shared" si="30"/>
        <v>39897444</v>
      </c>
      <c r="AA73">
        <f t="shared" si="31"/>
        <v>21054376</v>
      </c>
      <c r="AB73" s="3">
        <f t="shared" si="45"/>
        <v>18843068</v>
      </c>
      <c r="AC73" s="2">
        <f t="shared" si="32"/>
        <v>0.52771240182704438</v>
      </c>
      <c r="AD73" s="1">
        <f t="shared" ca="1" si="46"/>
        <v>4.3663747079222782E-8</v>
      </c>
      <c r="AH73" s="1">
        <f t="shared" si="33"/>
        <v>70</v>
      </c>
      <c r="AI73" s="10">
        <f t="shared" si="59"/>
        <v>84</v>
      </c>
      <c r="AJ73" s="14" t="str">
        <f t="shared" si="60"/>
        <v>Bay of Plenty Regional</v>
      </c>
      <c r="AK73" s="14">
        <f t="shared" ca="1" si="61"/>
        <v>128582</v>
      </c>
      <c r="AL73" s="14">
        <f t="shared" ca="1" si="57"/>
        <v>62939263200</v>
      </c>
      <c r="AM73" s="14">
        <f t="shared" ca="1" si="57"/>
        <v>807309.32030000002</v>
      </c>
      <c r="AN73" s="14">
        <f t="shared" ca="1" si="57"/>
        <v>64047229243.5</v>
      </c>
      <c r="AO73" s="14">
        <f t="shared" ca="1" si="57"/>
        <v>251112</v>
      </c>
      <c r="AP73" s="14">
        <f t="shared" ca="1" si="57"/>
        <v>131192</v>
      </c>
      <c r="AQ73" s="14">
        <f t="shared" ca="1" si="57"/>
        <v>76118349951</v>
      </c>
      <c r="AR73" s="14">
        <f t="shared" ca="1" si="57"/>
        <v>805223.5702999999</v>
      </c>
      <c r="AS73" s="11">
        <f t="shared" ca="1" si="57"/>
        <v>88157802696.5</v>
      </c>
      <c r="AU73" s="1">
        <f t="shared" si="48"/>
        <v>70</v>
      </c>
      <c r="AV73" s="10">
        <f t="shared" si="62"/>
        <v>84</v>
      </c>
      <c r="AW73" s="14" t="str">
        <f t="shared" si="63"/>
        <v>Bay of Plenty Regional</v>
      </c>
      <c r="AX73" s="14">
        <f t="shared" ca="1" si="64"/>
        <v>3849.3</v>
      </c>
      <c r="AY73" s="14">
        <f t="shared" ca="1" si="58"/>
        <v>3853</v>
      </c>
      <c r="AZ73" s="14">
        <f t="shared" ca="1" si="58"/>
        <v>3863.8</v>
      </c>
      <c r="BA73" s="11">
        <f t="shared" ca="1" si="58"/>
        <v>3891.7999999999997</v>
      </c>
      <c r="BC73" s="1">
        <f t="shared" si="50"/>
        <v>2</v>
      </c>
      <c r="BD73" t="s">
        <v>37</v>
      </c>
      <c r="BE73">
        <v>7410900.2400000012</v>
      </c>
      <c r="BF73">
        <v>4084611</v>
      </c>
      <c r="BG73">
        <v>6618758.3799999999</v>
      </c>
      <c r="BH73">
        <v>3628252</v>
      </c>
      <c r="BI73">
        <v>6780352.5900000008</v>
      </c>
      <c r="BJ73">
        <v>3705120</v>
      </c>
      <c r="BK73">
        <v>2863705.26</v>
      </c>
      <c r="BL73">
        <v>1630192</v>
      </c>
      <c r="BO73" s="1">
        <f t="shared" si="51"/>
        <v>17</v>
      </c>
      <c r="BP73" t="s">
        <v>58</v>
      </c>
      <c r="BQ73" s="106">
        <v>0.6</v>
      </c>
      <c r="BR73" s="106">
        <v>0.59</v>
      </c>
      <c r="BS73" s="106">
        <v>0.59</v>
      </c>
      <c r="BT73" s="106">
        <v>0.59</v>
      </c>
      <c r="BU73" s="2">
        <f t="shared" ca="1" si="52"/>
        <v>0.51</v>
      </c>
      <c r="BV73" s="2"/>
      <c r="BW73" s="1" t="str">
        <f t="shared" si="53"/>
        <v>Bay of Plenty Regional</v>
      </c>
      <c r="BX73" s="107">
        <f t="shared" ca="1" si="54"/>
        <v>-7.0093457943920512E-4</v>
      </c>
      <c r="BY73" s="2">
        <f t="shared" ca="1" si="55"/>
        <v>0.69716938543383467</v>
      </c>
      <c r="BZ73" s="2">
        <f t="shared" ca="1" si="56"/>
        <v>0.32232671121728002</v>
      </c>
    </row>
    <row r="74" spans="1:78" x14ac:dyDescent="0.25">
      <c r="A74">
        <v>86</v>
      </c>
      <c r="B74" t="s">
        <v>69</v>
      </c>
      <c r="C74" s="80">
        <v>4146</v>
      </c>
      <c r="D74" s="80">
        <f t="shared" ca="1" si="34"/>
        <v>4146.3999999999996</v>
      </c>
      <c r="E74" s="80">
        <v>34564297997</v>
      </c>
      <c r="F74" s="80">
        <f t="shared" ca="1" si="35"/>
        <v>36699880466.5</v>
      </c>
      <c r="G74" s="80">
        <v>78527</v>
      </c>
      <c r="H74" s="80">
        <f t="shared" ca="1" si="36"/>
        <v>69883</v>
      </c>
      <c r="I74" s="82">
        <v>1019.1199727209054</v>
      </c>
      <c r="J74" s="80">
        <v>2972269</v>
      </c>
      <c r="K74" s="80">
        <v>1759383</v>
      </c>
      <c r="L74" s="80">
        <v>3262529</v>
      </c>
      <c r="M74" s="80">
        <v>1954451</v>
      </c>
      <c r="N74" s="80">
        <v>4592421</v>
      </c>
      <c r="O74" s="80">
        <v>2632637</v>
      </c>
      <c r="P74" s="80">
        <v>4441178</v>
      </c>
      <c r="Q74" s="80">
        <v>2445577</v>
      </c>
      <c r="R74" s="80">
        <f t="shared" ca="1" si="37"/>
        <v>4285491.12</v>
      </c>
      <c r="S74" s="80">
        <f t="shared" ca="1" si="38"/>
        <v>2290050</v>
      </c>
      <c r="T74" s="80">
        <f t="shared" ca="1" si="39"/>
        <v>4072958.43</v>
      </c>
      <c r="U74" s="80">
        <f t="shared" ca="1" si="40"/>
        <v>2205601</v>
      </c>
      <c r="V74" s="80">
        <f t="shared" ca="1" si="41"/>
        <v>3769257.48</v>
      </c>
      <c r="W74" s="80">
        <f t="shared" ca="1" si="42"/>
        <v>2037962</v>
      </c>
      <c r="X74" s="80">
        <f t="shared" ca="1" si="43"/>
        <v>2169858.7000000002</v>
      </c>
      <c r="Y74" s="80">
        <f t="shared" ca="1" si="44"/>
        <v>1254038</v>
      </c>
      <c r="Z74">
        <f t="shared" si="30"/>
        <v>15268397</v>
      </c>
      <c r="AA74">
        <f t="shared" si="31"/>
        <v>8792048</v>
      </c>
      <c r="AB74" s="3">
        <f t="shared" si="45"/>
        <v>6476349</v>
      </c>
      <c r="AC74" s="2">
        <f t="shared" si="32"/>
        <v>0.5758330753385571</v>
      </c>
      <c r="AD74" s="1">
        <f t="shared" ca="1" si="46"/>
        <v>1.1298129441551923E-7</v>
      </c>
      <c r="AH74" s="1">
        <f t="shared" si="33"/>
        <v>71</v>
      </c>
      <c r="AI74" s="10">
        <f t="shared" si="59"/>
        <v>86</v>
      </c>
      <c r="AJ74" s="14" t="str">
        <f t="shared" si="60"/>
        <v>Hawkes Bay Regional</v>
      </c>
      <c r="AK74" s="14">
        <f t="shared" ca="1" si="61"/>
        <v>70029</v>
      </c>
      <c r="AL74" s="14">
        <f t="shared" ca="1" si="57"/>
        <v>30496133800</v>
      </c>
      <c r="AM74" s="14">
        <f t="shared" ca="1" si="57"/>
        <v>1007137.4135000001</v>
      </c>
      <c r="AN74" s="14">
        <f t="shared" ca="1" si="57"/>
        <v>31018875709</v>
      </c>
      <c r="AO74" s="14">
        <f t="shared" ca="1" si="57"/>
        <v>167835</v>
      </c>
      <c r="AP74" s="14">
        <f t="shared" ca="1" si="57"/>
        <v>69883</v>
      </c>
      <c r="AQ74" s="14">
        <f t="shared" ca="1" si="57"/>
        <v>34317321800</v>
      </c>
      <c r="AR74" s="14">
        <f t="shared" ca="1" si="57"/>
        <v>1007770.3134999999</v>
      </c>
      <c r="AS74" s="11">
        <f t="shared" ca="1" si="57"/>
        <v>36699880466.5</v>
      </c>
      <c r="AU74" s="1">
        <f t="shared" si="48"/>
        <v>71</v>
      </c>
      <c r="AV74" s="10">
        <f t="shared" si="62"/>
        <v>86</v>
      </c>
      <c r="AW74" s="14" t="str">
        <f t="shared" si="63"/>
        <v>Hawkes Bay Regional</v>
      </c>
      <c r="AX74" s="14">
        <f t="shared" ca="1" si="64"/>
        <v>4146.3999999999996</v>
      </c>
      <c r="AY74" s="14">
        <f t="shared" ca="1" si="58"/>
        <v>4152.6000000000004</v>
      </c>
      <c r="AZ74" s="14">
        <f t="shared" ca="1" si="58"/>
        <v>4144.2</v>
      </c>
      <c r="BA74" s="11">
        <f t="shared" ca="1" si="58"/>
        <v>4152.5</v>
      </c>
      <c r="BC74" s="1">
        <f t="shared" si="50"/>
        <v>23</v>
      </c>
      <c r="BD74" t="s">
        <v>38</v>
      </c>
      <c r="BE74">
        <v>5364591.4799999995</v>
      </c>
      <c r="BF74">
        <v>2539406</v>
      </c>
      <c r="BG74">
        <v>4316257.3999999994</v>
      </c>
      <c r="BH74">
        <v>1932304</v>
      </c>
      <c r="BI74">
        <v>12188779.470000001</v>
      </c>
      <c r="BJ74">
        <v>6044700</v>
      </c>
      <c r="BK74">
        <v>3094633.33</v>
      </c>
      <c r="BL74">
        <v>1540178</v>
      </c>
      <c r="BO74" s="1">
        <f t="shared" si="51"/>
        <v>27</v>
      </c>
      <c r="BP74" t="s">
        <v>59</v>
      </c>
      <c r="BQ74" s="106">
        <v>0.59</v>
      </c>
      <c r="BR74" s="106">
        <v>0.57999999999999996</v>
      </c>
      <c r="BS74" s="106">
        <v>0.56999999999999995</v>
      </c>
      <c r="BT74" s="106">
        <v>0.51</v>
      </c>
      <c r="BU74" s="2">
        <f t="shared" ca="1" si="52"/>
        <v>0.51</v>
      </c>
      <c r="BV74" s="2"/>
      <c r="BW74" s="1" t="str">
        <f t="shared" si="53"/>
        <v>Hawkes Bay Regional</v>
      </c>
      <c r="BX74" s="107">
        <f t="shared" ca="1" si="54"/>
        <v>9.6478533526202649E-5</v>
      </c>
      <c r="BY74" s="2">
        <f t="shared" ca="1" si="55"/>
        <v>6.178579034601997E-2</v>
      </c>
      <c r="BZ74" s="2">
        <f t="shared" ca="1" si="56"/>
        <v>-0.11007678887516395</v>
      </c>
    </row>
    <row r="75" spans="1:78" x14ac:dyDescent="0.25">
      <c r="A75">
        <v>87</v>
      </c>
      <c r="B75" t="s">
        <v>70</v>
      </c>
      <c r="C75" s="80">
        <v>3502</v>
      </c>
      <c r="D75" s="80">
        <f t="shared" ca="1" si="34"/>
        <v>3500.7000000000003</v>
      </c>
      <c r="E75" s="80">
        <v>28121784168</v>
      </c>
      <c r="F75" s="80">
        <f t="shared" ca="1" si="35"/>
        <v>33305798252.5</v>
      </c>
      <c r="G75" s="80">
        <v>54788</v>
      </c>
      <c r="H75" s="80">
        <f t="shared" ca="1" si="36"/>
        <v>53855</v>
      </c>
      <c r="I75" s="82">
        <v>999.61803690548379</v>
      </c>
      <c r="J75" s="80">
        <v>1625357</v>
      </c>
      <c r="K75" s="80">
        <v>837970</v>
      </c>
      <c r="L75" s="80">
        <v>2222754</v>
      </c>
      <c r="M75" s="80">
        <v>1165658</v>
      </c>
      <c r="N75" s="80">
        <v>2306952</v>
      </c>
      <c r="O75" s="80">
        <v>1248826</v>
      </c>
      <c r="P75" s="80">
        <v>2326760</v>
      </c>
      <c r="Q75" s="80">
        <v>1228223</v>
      </c>
      <c r="R75" s="80">
        <f t="shared" ca="1" si="37"/>
        <v>2319181.44</v>
      </c>
      <c r="S75" s="80">
        <f t="shared" ca="1" si="38"/>
        <v>1221148</v>
      </c>
      <c r="T75" s="80">
        <f t="shared" ca="1" si="39"/>
        <v>2492211.63</v>
      </c>
      <c r="U75" s="80">
        <f t="shared" ca="1" si="40"/>
        <v>1313003</v>
      </c>
      <c r="V75" s="80">
        <f t="shared" ca="1" si="41"/>
        <v>2640182.2599999998</v>
      </c>
      <c r="W75" s="80">
        <f t="shared" ca="1" si="42"/>
        <v>1394303</v>
      </c>
      <c r="X75" s="80">
        <f t="shared" ca="1" si="43"/>
        <v>900327.82000000007</v>
      </c>
      <c r="Y75" s="80">
        <f t="shared" ca="1" si="44"/>
        <v>479527</v>
      </c>
      <c r="Z75">
        <f t="shared" si="30"/>
        <v>8481823</v>
      </c>
      <c r="AA75">
        <f t="shared" si="31"/>
        <v>4480677</v>
      </c>
      <c r="AB75" s="3">
        <f t="shared" si="45"/>
        <v>4001146</v>
      </c>
      <c r="AC75" s="2">
        <f t="shared" si="32"/>
        <v>0.52826815650361958</v>
      </c>
      <c r="AD75" s="1">
        <f t="shared" ca="1" si="46"/>
        <v>1.0510782457337532E-7</v>
      </c>
      <c r="AH75" s="1">
        <f t="shared" si="33"/>
        <v>72</v>
      </c>
      <c r="AI75" s="10">
        <f t="shared" si="59"/>
        <v>87</v>
      </c>
      <c r="AJ75" s="14" t="str">
        <f t="shared" si="60"/>
        <v>Taranaki Regional</v>
      </c>
      <c r="AK75" s="14">
        <f t="shared" ca="1" si="61"/>
        <v>54788</v>
      </c>
      <c r="AL75" s="14">
        <f t="shared" ca="1" si="57"/>
        <v>27847791750</v>
      </c>
      <c r="AM75" s="14">
        <f t="shared" ca="1" si="57"/>
        <v>572026.98840000015</v>
      </c>
      <c r="AN75" s="14">
        <f t="shared" ca="1" si="57"/>
        <v>28121784168</v>
      </c>
      <c r="AO75" s="14">
        <f t="shared" ca="1" si="57"/>
        <v>125649</v>
      </c>
      <c r="AP75" s="14">
        <f t="shared" ca="1" si="57"/>
        <v>53855</v>
      </c>
      <c r="AQ75" s="14">
        <f t="shared" ca="1" si="57"/>
        <v>29956765940</v>
      </c>
      <c r="AR75" s="14">
        <f t="shared" ca="1" si="57"/>
        <v>570865.83839999954</v>
      </c>
      <c r="AS75" s="11">
        <f t="shared" ca="1" si="57"/>
        <v>33305798252.5</v>
      </c>
      <c r="AU75" s="1">
        <f t="shared" si="48"/>
        <v>72</v>
      </c>
      <c r="AV75" s="10">
        <f t="shared" si="62"/>
        <v>87</v>
      </c>
      <c r="AW75" s="14" t="str">
        <f t="shared" si="63"/>
        <v>Taranaki Regional</v>
      </c>
      <c r="AX75" s="14">
        <f t="shared" ca="1" si="64"/>
        <v>3500.7000000000003</v>
      </c>
      <c r="AY75" s="14">
        <f t="shared" ca="1" si="58"/>
        <v>3490.4000000000005</v>
      </c>
      <c r="AZ75" s="14">
        <f t="shared" ca="1" si="58"/>
        <v>3526.7</v>
      </c>
      <c r="BA75" s="11">
        <f t="shared" ca="1" si="58"/>
        <v>3532.5</v>
      </c>
      <c r="BC75" s="1">
        <f t="shared" si="50"/>
        <v>53</v>
      </c>
      <c r="BD75" t="s">
        <v>39</v>
      </c>
      <c r="BE75">
        <v>3216852.8600000008</v>
      </c>
      <c r="BF75">
        <v>1586344</v>
      </c>
      <c r="BG75">
        <v>3177518.8499999996</v>
      </c>
      <c r="BH75">
        <v>1571620</v>
      </c>
      <c r="BI75">
        <v>3206141.3699999992</v>
      </c>
      <c r="BJ75">
        <v>1588628</v>
      </c>
      <c r="BK75">
        <v>1445861.52</v>
      </c>
      <c r="BL75">
        <v>751848</v>
      </c>
      <c r="BO75" s="1">
        <f t="shared" si="51"/>
        <v>33</v>
      </c>
      <c r="BP75" t="s">
        <v>75</v>
      </c>
      <c r="BQ75" s="106">
        <v>0.52</v>
      </c>
      <c r="BR75" s="106">
        <v>0.51</v>
      </c>
      <c r="BS75" s="106">
        <v>0.51</v>
      </c>
      <c r="BT75" s="106">
        <v>0.51</v>
      </c>
      <c r="BU75" s="2">
        <f t="shared" ca="1" si="52"/>
        <v>0.51</v>
      </c>
      <c r="BV75" s="2"/>
      <c r="BW75" s="1" t="str">
        <f t="shared" si="53"/>
        <v>Taranaki Regional</v>
      </c>
      <c r="BX75" s="107">
        <f t="shared" ca="1" si="54"/>
        <v>-3.7121644774406828E-4</v>
      </c>
      <c r="BY75" s="2">
        <f t="shared" ca="1" si="55"/>
        <v>0.18434157852612107</v>
      </c>
      <c r="BZ75" s="2">
        <f t="shared" ca="1" si="56"/>
        <v>-1.7029276483901585E-2</v>
      </c>
    </row>
    <row r="76" spans="1:78" x14ac:dyDescent="0.25">
      <c r="A76">
        <v>88</v>
      </c>
      <c r="B76" t="s">
        <v>71</v>
      </c>
      <c r="C76" s="80">
        <v>7882</v>
      </c>
      <c r="D76" s="80">
        <f t="shared" ca="1" si="34"/>
        <v>7881.6</v>
      </c>
      <c r="E76" s="80">
        <v>39506695227</v>
      </c>
      <c r="F76" s="80">
        <f t="shared" ca="1" si="35"/>
        <v>48393220381.900002</v>
      </c>
      <c r="G76" s="80">
        <v>103996</v>
      </c>
      <c r="H76" s="80">
        <f t="shared" ca="1" si="36"/>
        <v>111611</v>
      </c>
      <c r="I76" s="82">
        <v>1016.513170675133</v>
      </c>
      <c r="J76" s="80">
        <v>5066187</v>
      </c>
      <c r="K76" s="80">
        <v>2943642</v>
      </c>
      <c r="L76" s="80">
        <v>5241031</v>
      </c>
      <c r="M76" s="80">
        <v>3027514</v>
      </c>
      <c r="N76" s="80">
        <v>5448598</v>
      </c>
      <c r="O76" s="80">
        <v>3221819</v>
      </c>
      <c r="P76" s="80">
        <v>5105489</v>
      </c>
      <c r="Q76" s="80">
        <v>2875850</v>
      </c>
      <c r="R76" s="80">
        <f t="shared" ca="1" si="37"/>
        <v>4911953.9600000009</v>
      </c>
      <c r="S76" s="80">
        <f t="shared" ca="1" si="38"/>
        <v>2681455</v>
      </c>
      <c r="T76" s="80">
        <f t="shared" ca="1" si="39"/>
        <v>4949767.1300000008</v>
      </c>
      <c r="U76" s="80">
        <f t="shared" ca="1" si="40"/>
        <v>2709189</v>
      </c>
      <c r="V76" s="80">
        <f t="shared" ca="1" si="41"/>
        <v>5321805.5300000012</v>
      </c>
      <c r="W76" s="80">
        <f t="shared" ca="1" si="42"/>
        <v>2917145</v>
      </c>
      <c r="X76" s="80">
        <f t="shared" ca="1" si="43"/>
        <v>3007546.77</v>
      </c>
      <c r="Y76" s="80">
        <f t="shared" ca="1" si="44"/>
        <v>1673151.88</v>
      </c>
      <c r="Z76">
        <f t="shared" si="30"/>
        <v>20861305</v>
      </c>
      <c r="AA76">
        <f t="shared" si="31"/>
        <v>12068825</v>
      </c>
      <c r="AB76" s="3">
        <f t="shared" si="45"/>
        <v>8792480</v>
      </c>
      <c r="AC76" s="2">
        <f t="shared" si="32"/>
        <v>0.57852684671452725</v>
      </c>
      <c r="AD76" s="1">
        <f t="shared" ca="1" si="46"/>
        <v>1.6286578859190514E-7</v>
      </c>
      <c r="AH76" s="1">
        <f t="shared" si="33"/>
        <v>73</v>
      </c>
      <c r="AI76" s="10">
        <f t="shared" si="59"/>
        <v>88</v>
      </c>
      <c r="AJ76" s="14" t="str">
        <f t="shared" si="60"/>
        <v>Manawatu-Wanganui Regional</v>
      </c>
      <c r="AK76" s="14">
        <f t="shared" ca="1" si="61"/>
        <v>112494</v>
      </c>
      <c r="AL76" s="14">
        <f t="shared" ca="1" si="57"/>
        <v>42906988300</v>
      </c>
      <c r="AM76" s="14">
        <f t="shared" ca="1" si="57"/>
        <v>1664927.3372000004</v>
      </c>
      <c r="AN76" s="14">
        <f t="shared" ca="1" si="57"/>
        <v>43052117514</v>
      </c>
      <c r="AO76" s="14">
        <f t="shared" ca="1" si="57"/>
        <v>292265</v>
      </c>
      <c r="AP76" s="14">
        <f t="shared" ca="1" si="57"/>
        <v>111611</v>
      </c>
      <c r="AQ76" s="14">
        <f t="shared" ca="1" si="57"/>
        <v>46514948700</v>
      </c>
      <c r="AR76" s="14">
        <f t="shared" ca="1" si="57"/>
        <v>1662275.1198999998</v>
      </c>
      <c r="AS76" s="11">
        <f t="shared" ca="1" si="57"/>
        <v>48393220381.900002</v>
      </c>
      <c r="AU76" s="1">
        <f t="shared" si="48"/>
        <v>73</v>
      </c>
      <c r="AV76" s="10">
        <f t="shared" si="62"/>
        <v>88</v>
      </c>
      <c r="AW76" s="14" t="str">
        <f t="shared" si="63"/>
        <v>Manawatu-Wanganui Regional</v>
      </c>
      <c r="AX76" s="14">
        <f t="shared" ca="1" si="64"/>
        <v>7881.6</v>
      </c>
      <c r="AY76" s="14">
        <f t="shared" ca="1" si="58"/>
        <v>7857.7999999999993</v>
      </c>
      <c r="AZ76" s="14">
        <f t="shared" ca="1" si="58"/>
        <v>7864.4</v>
      </c>
      <c r="BA76" s="11">
        <f t="shared" ca="1" si="58"/>
        <v>7880.7</v>
      </c>
      <c r="BC76" s="1">
        <f t="shared" si="50"/>
        <v>26</v>
      </c>
      <c r="BD76" t="s">
        <v>40</v>
      </c>
      <c r="BE76">
        <v>4124542.1499999994</v>
      </c>
      <c r="BF76">
        <v>1956651</v>
      </c>
      <c r="BG76">
        <v>3990980.8300000005</v>
      </c>
      <c r="BH76">
        <v>1870436</v>
      </c>
      <c r="BI76">
        <v>4943245.79</v>
      </c>
      <c r="BJ76">
        <v>2374952</v>
      </c>
      <c r="BK76">
        <v>3622537.9800000009</v>
      </c>
      <c r="BL76">
        <v>2005240</v>
      </c>
      <c r="BO76" s="1">
        <f t="shared" si="51"/>
        <v>34</v>
      </c>
      <c r="BP76" t="s">
        <v>60</v>
      </c>
      <c r="BQ76" s="106">
        <v>0.5</v>
      </c>
      <c r="BR76" s="106">
        <v>0.51</v>
      </c>
      <c r="BS76" s="106">
        <v>0.51</v>
      </c>
      <c r="BT76" s="106">
        <v>0.51</v>
      </c>
      <c r="BU76" s="2">
        <f t="shared" ca="1" si="52"/>
        <v>0.51</v>
      </c>
      <c r="BV76" s="2"/>
      <c r="BW76" s="1" t="str">
        <f t="shared" si="53"/>
        <v>Manawatu-Wanganui Regional</v>
      </c>
      <c r="BX76" s="107">
        <f t="shared" ca="1" si="54"/>
        <v>-5.0748540979400683E-5</v>
      </c>
      <c r="BY76" s="2">
        <f t="shared" ca="1" si="55"/>
        <v>0.224937193653867</v>
      </c>
      <c r="BZ76" s="2">
        <f t="shared" ca="1" si="56"/>
        <v>7.3223970152698187E-2</v>
      </c>
    </row>
    <row r="77" spans="1:78" x14ac:dyDescent="0.25">
      <c r="A77">
        <v>89</v>
      </c>
      <c r="B77" t="s">
        <v>72</v>
      </c>
      <c r="C77" s="80">
        <v>3968</v>
      </c>
      <c r="D77" s="80">
        <f t="shared" ca="1" si="34"/>
        <v>3965.7</v>
      </c>
      <c r="E77" s="80">
        <v>102791948779</v>
      </c>
      <c r="F77" s="80">
        <f t="shared" ca="1" si="35"/>
        <v>123161568442.35001</v>
      </c>
      <c r="G77" s="80">
        <v>197823</v>
      </c>
      <c r="H77" s="80">
        <f t="shared" ca="1" si="36"/>
        <v>200061</v>
      </c>
      <c r="I77" s="82">
        <v>984.14695122359035</v>
      </c>
      <c r="J77" s="80">
        <v>83001494</v>
      </c>
      <c r="K77" s="80">
        <v>45828869</v>
      </c>
      <c r="L77" s="80">
        <v>85447865</v>
      </c>
      <c r="M77" s="80">
        <v>47583516</v>
      </c>
      <c r="N77" s="80">
        <v>99865473</v>
      </c>
      <c r="O77" s="80">
        <v>56105987</v>
      </c>
      <c r="P77" s="80">
        <v>96800482</v>
      </c>
      <c r="Q77" s="80">
        <v>53449721</v>
      </c>
      <c r="R77" s="80">
        <f t="shared" ca="1" si="37"/>
        <v>96524797.599999994</v>
      </c>
      <c r="S77" s="80">
        <f t="shared" ca="1" si="38"/>
        <v>53185742</v>
      </c>
      <c r="T77" s="80">
        <f t="shared" ca="1" si="39"/>
        <v>105021778.48999999</v>
      </c>
      <c r="U77" s="80">
        <f t="shared" ca="1" si="40"/>
        <v>57307705</v>
      </c>
      <c r="V77" s="80">
        <f t="shared" ca="1" si="41"/>
        <v>112705401.38999999</v>
      </c>
      <c r="W77" s="80">
        <f t="shared" ca="1" si="42"/>
        <v>60539949</v>
      </c>
      <c r="X77" s="80">
        <f t="shared" ca="1" si="43"/>
        <v>72995611.480000004</v>
      </c>
      <c r="Y77" s="80">
        <f t="shared" ca="1" si="44"/>
        <v>39477243</v>
      </c>
      <c r="Z77">
        <f t="shared" si="30"/>
        <v>365115314</v>
      </c>
      <c r="AA77">
        <f t="shared" si="31"/>
        <v>202968093</v>
      </c>
      <c r="AB77" s="3">
        <f t="shared" si="45"/>
        <v>162147221</v>
      </c>
      <c r="AC77" s="2">
        <f t="shared" si="32"/>
        <v>0.5559013418976998</v>
      </c>
      <c r="AD77" s="1">
        <f t="shared" ca="1" si="46"/>
        <v>3.2199167728659464E-8</v>
      </c>
      <c r="AH77" s="1">
        <f t="shared" si="33"/>
        <v>74</v>
      </c>
      <c r="AI77" s="10">
        <f t="shared" si="59"/>
        <v>89</v>
      </c>
      <c r="AJ77" s="14" t="str">
        <f t="shared" si="60"/>
        <v>Wellington Regional</v>
      </c>
      <c r="AK77" s="14">
        <f t="shared" ca="1" si="61"/>
        <v>197823</v>
      </c>
      <c r="AL77" s="14">
        <f t="shared" ca="1" si="57"/>
        <v>101282642333</v>
      </c>
      <c r="AM77" s="14">
        <f t="shared" ca="1" si="57"/>
        <v>610341.24170000013</v>
      </c>
      <c r="AN77" s="14">
        <f t="shared" ca="1" si="57"/>
        <v>102791948779.01001</v>
      </c>
      <c r="AO77" s="14">
        <f t="shared" ca="1" si="57"/>
        <v>334272</v>
      </c>
      <c r="AP77" s="14">
        <f t="shared" ca="1" si="57"/>
        <v>200061</v>
      </c>
      <c r="AQ77" s="14">
        <f t="shared" ca="1" si="57"/>
        <v>106874119252</v>
      </c>
      <c r="AR77" s="14">
        <f t="shared" ca="1" si="57"/>
        <v>611585.65630000015</v>
      </c>
      <c r="AS77" s="11">
        <f t="shared" ca="1" si="57"/>
        <v>123161568442.35001</v>
      </c>
      <c r="AU77" s="1">
        <f t="shared" si="48"/>
        <v>74</v>
      </c>
      <c r="AV77" s="10">
        <f t="shared" si="62"/>
        <v>89</v>
      </c>
      <c r="AW77" s="14" t="str">
        <f t="shared" si="63"/>
        <v>Wellington Regional</v>
      </c>
      <c r="AX77" s="14">
        <f t="shared" ca="1" si="64"/>
        <v>3965.7</v>
      </c>
      <c r="AY77" s="14">
        <f t="shared" ca="1" si="58"/>
        <v>3975.6</v>
      </c>
      <c r="AZ77" s="14">
        <f t="shared" ca="1" si="58"/>
        <v>3983.4000000000005</v>
      </c>
      <c r="BA77" s="11">
        <f t="shared" ca="1" si="58"/>
        <v>4002.9</v>
      </c>
      <c r="BC77" s="1">
        <f t="shared" si="50"/>
        <v>67</v>
      </c>
      <c r="BD77" t="s">
        <v>41</v>
      </c>
      <c r="BE77">
        <v>33226544.670000002</v>
      </c>
      <c r="BF77">
        <v>15178393</v>
      </c>
      <c r="BG77">
        <v>32489001.059999999</v>
      </c>
      <c r="BH77">
        <v>14809649</v>
      </c>
      <c r="BI77">
        <v>45726975.160000004</v>
      </c>
      <c r="BJ77">
        <v>21710945</v>
      </c>
      <c r="BK77">
        <v>17094000.009999998</v>
      </c>
      <c r="BL77">
        <v>8205120</v>
      </c>
      <c r="BO77" s="1">
        <f t="shared" si="51"/>
        <v>43</v>
      </c>
      <c r="BP77" t="s">
        <v>61</v>
      </c>
      <c r="BQ77" s="106">
        <v>0.57999999999999996</v>
      </c>
      <c r="BR77" s="106">
        <v>0.56999999999999995</v>
      </c>
      <c r="BS77" s="106">
        <v>0.56000000000000005</v>
      </c>
      <c r="BT77" s="106">
        <v>0.55000000000000004</v>
      </c>
      <c r="BU77" s="2">
        <f t="shared" ca="1" si="52"/>
        <v>0.51</v>
      </c>
      <c r="BV77" s="2"/>
      <c r="BW77" s="1" t="str">
        <f t="shared" si="53"/>
        <v>Wellington Regional</v>
      </c>
      <c r="BX77" s="107">
        <f t="shared" ca="1" si="54"/>
        <v>-5.7963709677423937E-4</v>
      </c>
      <c r="BY77" s="2">
        <f t="shared" ca="1" si="55"/>
        <v>0.19816357122622663</v>
      </c>
      <c r="BZ77" s="2">
        <f t="shared" ca="1" si="56"/>
        <v>1.1313143567734793E-2</v>
      </c>
    </row>
    <row r="78" spans="1:78" x14ac:dyDescent="0.25">
      <c r="A78">
        <v>90</v>
      </c>
      <c r="B78" t="s">
        <v>73</v>
      </c>
      <c r="C78" s="80">
        <v>1884</v>
      </c>
      <c r="D78" s="80">
        <f t="shared" ca="1" si="34"/>
        <v>1883.9</v>
      </c>
      <c r="E78" s="80">
        <v>7405450295</v>
      </c>
      <c r="F78" s="80">
        <f t="shared" ca="1" si="35"/>
        <v>7141671897.25</v>
      </c>
      <c r="G78" s="80">
        <v>22410</v>
      </c>
      <c r="H78" s="80">
        <f t="shared" ca="1" si="36"/>
        <v>22377</v>
      </c>
      <c r="I78" s="82">
        <v>1006.0929182281156</v>
      </c>
      <c r="J78" s="80">
        <v>110645</v>
      </c>
      <c r="K78" s="80">
        <v>65920</v>
      </c>
      <c r="L78" s="80">
        <v>195682</v>
      </c>
      <c r="M78" s="80">
        <v>131478</v>
      </c>
      <c r="N78" s="80">
        <v>258226</v>
      </c>
      <c r="O78" s="80">
        <v>187979</v>
      </c>
      <c r="P78" s="80">
        <v>88000</v>
      </c>
      <c r="Q78" s="80">
        <v>49138</v>
      </c>
      <c r="R78" s="80">
        <f t="shared" ca="1" si="37"/>
        <v>88179.57</v>
      </c>
      <c r="S78" s="80">
        <f t="shared" ca="1" si="38"/>
        <v>49138</v>
      </c>
      <c r="T78" s="80">
        <f t="shared" ca="1" si="39"/>
        <v>139176.06</v>
      </c>
      <c r="U78" s="80">
        <f t="shared" ca="1" si="40"/>
        <v>78287</v>
      </c>
      <c r="V78" s="80">
        <f t="shared" ca="1" si="41"/>
        <v>145060.54999999999</v>
      </c>
      <c r="W78" s="80">
        <f t="shared" ca="1" si="42"/>
        <v>85412</v>
      </c>
      <c r="X78" s="80">
        <f t="shared" ca="1" si="43"/>
        <v>82825.08</v>
      </c>
      <c r="Y78" s="80">
        <f t="shared" ca="1" si="44"/>
        <v>47088</v>
      </c>
      <c r="Z78">
        <f t="shared" si="30"/>
        <v>652553</v>
      </c>
      <c r="AA78">
        <f t="shared" si="31"/>
        <v>434515</v>
      </c>
      <c r="AB78" s="3">
        <f t="shared" si="45"/>
        <v>218038</v>
      </c>
      <c r="AC78" s="2">
        <f t="shared" si="32"/>
        <v>0.66586928571319115</v>
      </c>
      <c r="AD78" s="1">
        <f t="shared" ca="1" si="46"/>
        <v>2.6378977179355184E-7</v>
      </c>
      <c r="AH78" s="1">
        <f t="shared" si="33"/>
        <v>75</v>
      </c>
      <c r="AI78" s="10">
        <f t="shared" si="59"/>
        <v>90</v>
      </c>
      <c r="AJ78" s="14" t="str">
        <f t="shared" si="60"/>
        <v>West Coast Regional</v>
      </c>
      <c r="AK78" s="14">
        <f t="shared" ca="1" si="61"/>
        <v>22410</v>
      </c>
      <c r="AL78" s="14">
        <f t="shared" ca="1" si="57"/>
        <v>7500571475</v>
      </c>
      <c r="AM78" s="14">
        <f t="shared" ca="1" si="57"/>
        <v>362695.20699999982</v>
      </c>
      <c r="AN78" s="14">
        <f t="shared" ca="1" si="57"/>
        <v>7405450295</v>
      </c>
      <c r="AO78" s="14">
        <f t="shared" ca="1" si="57"/>
        <v>125649</v>
      </c>
      <c r="AP78" s="14">
        <f t="shared" ca="1" si="57"/>
        <v>22377</v>
      </c>
      <c r="AQ78" s="14">
        <f t="shared" ca="1" si="57"/>
        <v>7547475175</v>
      </c>
      <c r="AR78" s="14">
        <f t="shared" ca="1" si="57"/>
        <v>362153.66700000019</v>
      </c>
      <c r="AS78" s="11">
        <f t="shared" ca="1" si="57"/>
        <v>7141671897.25</v>
      </c>
      <c r="AU78" s="1">
        <f t="shared" si="48"/>
        <v>75</v>
      </c>
      <c r="AV78" s="10">
        <f t="shared" si="62"/>
        <v>90</v>
      </c>
      <c r="AW78" s="14" t="str">
        <f t="shared" si="63"/>
        <v>West Coast Regional</v>
      </c>
      <c r="AX78" s="14">
        <f t="shared" ca="1" si="64"/>
        <v>1883.9</v>
      </c>
      <c r="AY78" s="14">
        <f t="shared" ca="1" si="58"/>
        <v>1887.4</v>
      </c>
      <c r="AZ78" s="14">
        <f t="shared" ca="1" si="58"/>
        <v>1887.4</v>
      </c>
      <c r="BA78" s="11">
        <f t="shared" ca="1" si="58"/>
        <v>1887.4</v>
      </c>
      <c r="BC78" s="1">
        <f t="shared" si="50"/>
        <v>77</v>
      </c>
      <c r="BD78" t="s">
        <v>54</v>
      </c>
      <c r="BE78">
        <v>3998647.06</v>
      </c>
      <c r="BF78">
        <v>2408575</v>
      </c>
      <c r="BG78">
        <v>4255767.58</v>
      </c>
      <c r="BH78">
        <v>2529116</v>
      </c>
      <c r="BI78">
        <v>3707456.9300000006</v>
      </c>
      <c r="BJ78">
        <v>2171239</v>
      </c>
      <c r="BK78">
        <v>1405881.96</v>
      </c>
      <c r="BL78">
        <v>857588</v>
      </c>
      <c r="BO78" s="1">
        <f t="shared" si="51"/>
        <v>66</v>
      </c>
      <c r="BP78" t="s">
        <v>260</v>
      </c>
      <c r="BQ78" s="106">
        <v>0.64</v>
      </c>
      <c r="BR78" s="106">
        <v>0.63</v>
      </c>
      <c r="BS78" s="106">
        <v>0.62</v>
      </c>
      <c r="BT78" s="106">
        <v>0.51</v>
      </c>
      <c r="BU78" s="2">
        <f t="shared" ca="1" si="52"/>
        <v>0.57999999999999996</v>
      </c>
      <c r="BV78" s="2"/>
      <c r="BW78" s="1" t="str">
        <f t="shared" si="53"/>
        <v>West Coast Regional</v>
      </c>
      <c r="BX78" s="107">
        <f t="shared" ca="1" si="54"/>
        <v>-5.3078556263221367E-5</v>
      </c>
      <c r="BY78" s="2">
        <f t="shared" ca="1" si="55"/>
        <v>-3.561949472918581E-2</v>
      </c>
      <c r="BZ78" s="2">
        <f t="shared" ca="1" si="56"/>
        <v>-1.4725568942436412E-3</v>
      </c>
    </row>
    <row r="79" spans="1:78" x14ac:dyDescent="0.25">
      <c r="A79">
        <v>91</v>
      </c>
      <c r="B79" t="s">
        <v>74</v>
      </c>
      <c r="C79" s="80">
        <v>14444</v>
      </c>
      <c r="D79" s="80">
        <f t="shared" ca="1" si="34"/>
        <v>14444</v>
      </c>
      <c r="E79" s="80">
        <v>170494360663</v>
      </c>
      <c r="F79" s="80">
        <f t="shared" ca="1" si="35"/>
        <v>183520705315.5</v>
      </c>
      <c r="G79" s="80">
        <v>281716</v>
      </c>
      <c r="H79" s="80">
        <f t="shared" ca="1" si="36"/>
        <v>274965</v>
      </c>
      <c r="I79" s="82">
        <v>974.76450460759099</v>
      </c>
      <c r="J79" s="80">
        <v>41692465</v>
      </c>
      <c r="K79" s="80">
        <v>22134700</v>
      </c>
      <c r="L79" s="80">
        <v>40897446</v>
      </c>
      <c r="M79" s="80">
        <v>21537995</v>
      </c>
      <c r="N79" s="80">
        <v>43692522</v>
      </c>
      <c r="O79" s="80">
        <v>23198974</v>
      </c>
      <c r="P79" s="80">
        <v>40608341</v>
      </c>
      <c r="Q79" s="80">
        <v>21906385</v>
      </c>
      <c r="R79" s="80">
        <f t="shared" ca="1" si="37"/>
        <v>40484759.490000002</v>
      </c>
      <c r="S79" s="80">
        <f t="shared" ca="1" si="38"/>
        <v>21515761</v>
      </c>
      <c r="T79" s="80">
        <f t="shared" ca="1" si="39"/>
        <v>39286744.849999994</v>
      </c>
      <c r="U79" s="80">
        <f t="shared" ca="1" si="40"/>
        <v>20282191</v>
      </c>
      <c r="V79" s="80">
        <f t="shared" ca="1" si="41"/>
        <v>40308369.219999999</v>
      </c>
      <c r="W79" s="80">
        <f t="shared" ca="1" si="42"/>
        <v>20803079</v>
      </c>
      <c r="X79" s="80">
        <f t="shared" ca="1" si="43"/>
        <v>21028307.82</v>
      </c>
      <c r="Y79" s="80">
        <f t="shared" ca="1" si="44"/>
        <v>11059623</v>
      </c>
      <c r="Z79">
        <f t="shared" si="30"/>
        <v>166890774</v>
      </c>
      <c r="AA79">
        <f t="shared" si="31"/>
        <v>88778054</v>
      </c>
      <c r="AB79" s="3">
        <f t="shared" si="45"/>
        <v>78112720</v>
      </c>
      <c r="AC79" s="2">
        <f t="shared" si="32"/>
        <v>0.53195303654113324</v>
      </c>
      <c r="AD79" s="1">
        <f t="shared" ca="1" si="46"/>
        <v>7.8705015737426292E-8</v>
      </c>
      <c r="AH79" s="1">
        <f t="shared" si="33"/>
        <v>76</v>
      </c>
      <c r="AI79" s="10">
        <f t="shared" si="59"/>
        <v>91</v>
      </c>
      <c r="AJ79" s="14" t="str">
        <f t="shared" si="60"/>
        <v>Canterbury Regional</v>
      </c>
      <c r="AK79" s="14">
        <f t="shared" ca="1" si="61"/>
        <v>267518</v>
      </c>
      <c r="AL79" s="14">
        <f t="shared" ca="1" si="57"/>
        <v>152061492610</v>
      </c>
      <c r="AM79" s="14">
        <f t="shared" ca="1" si="57"/>
        <v>2863326.4510000008</v>
      </c>
      <c r="AN79" s="14">
        <f t="shared" ca="1" si="57"/>
        <v>163434405930.39999</v>
      </c>
      <c r="AO79" s="14">
        <f t="shared" ca="1" si="57"/>
        <v>377368</v>
      </c>
      <c r="AP79" s="14">
        <f t="shared" ca="1" si="57"/>
        <v>274965</v>
      </c>
      <c r="AQ79" s="14">
        <f t="shared" ca="1" si="57"/>
        <v>180476963650</v>
      </c>
      <c r="AR79" s="14">
        <f t="shared" ca="1" si="57"/>
        <v>2802230.3036000002</v>
      </c>
      <c r="AS79" s="11">
        <f t="shared" ca="1" si="57"/>
        <v>183520705315.5</v>
      </c>
      <c r="AU79" s="1">
        <f t="shared" si="48"/>
        <v>76</v>
      </c>
      <c r="AV79" s="10">
        <f t="shared" si="62"/>
        <v>91</v>
      </c>
      <c r="AW79" s="14" t="str">
        <f t="shared" si="63"/>
        <v>Canterbury Regional</v>
      </c>
      <c r="AX79" s="14">
        <f t="shared" ca="1" si="64"/>
        <v>14444</v>
      </c>
      <c r="AY79" s="14">
        <f t="shared" ca="1" si="58"/>
        <v>14489.600000000002</v>
      </c>
      <c r="AZ79" s="14">
        <f t="shared" ca="1" si="58"/>
        <v>14504.900000000001</v>
      </c>
      <c r="BA79" s="11">
        <f t="shared" ca="1" si="58"/>
        <v>14582.5</v>
      </c>
      <c r="BC79" s="1">
        <f t="shared" si="50"/>
        <v>11</v>
      </c>
      <c r="BD79" t="s">
        <v>55</v>
      </c>
      <c r="BE79">
        <v>5125988.3399999989</v>
      </c>
      <c r="BF79">
        <v>3171477</v>
      </c>
      <c r="BG79">
        <v>4439551.1399999997</v>
      </c>
      <c r="BH79">
        <v>2690979</v>
      </c>
      <c r="BI79">
        <v>6066902.5600000005</v>
      </c>
      <c r="BJ79">
        <v>3732055</v>
      </c>
      <c r="BK79">
        <v>1545443.5399999998</v>
      </c>
      <c r="BL79">
        <v>958175</v>
      </c>
      <c r="BO79" s="1">
        <f t="shared" si="51"/>
        <v>56</v>
      </c>
      <c r="BP79" s="1" t="s">
        <v>62</v>
      </c>
      <c r="BQ79" s="106">
        <v>0.56000000000000005</v>
      </c>
      <c r="BR79" s="106">
        <v>0.55000000000000004</v>
      </c>
      <c r="BS79" s="106">
        <v>0.54</v>
      </c>
      <c r="BT79" s="106">
        <v>0.54</v>
      </c>
      <c r="BU79" s="2">
        <f t="shared" ca="1" si="52"/>
        <v>0.51</v>
      </c>
      <c r="BV79" s="2"/>
      <c r="BW79" s="1" t="str">
        <f t="shared" si="53"/>
        <v>Canterbury Regional</v>
      </c>
      <c r="BX79" s="107">
        <f t="shared" ca="1" si="54"/>
        <v>0</v>
      </c>
      <c r="BY79" s="2">
        <f t="shared" ca="1" si="55"/>
        <v>7.6403375465584678E-2</v>
      </c>
      <c r="BZ79" s="2">
        <f t="shared" ca="1" si="56"/>
        <v>-2.3963850118559116E-2</v>
      </c>
    </row>
    <row r="80" spans="1:78" x14ac:dyDescent="0.25">
      <c r="A80">
        <v>93</v>
      </c>
      <c r="B80" t="s">
        <v>75</v>
      </c>
      <c r="C80" s="80">
        <v>9201</v>
      </c>
      <c r="D80" s="80">
        <f t="shared" ca="1" si="34"/>
        <v>9198.4000000000015</v>
      </c>
      <c r="E80" s="80">
        <v>52673882698</v>
      </c>
      <c r="F80" s="80">
        <f t="shared" ca="1" si="35"/>
        <v>74898488662.5</v>
      </c>
      <c r="G80" s="80">
        <v>101455</v>
      </c>
      <c r="H80" s="80">
        <f t="shared" ca="1" si="36"/>
        <v>116317</v>
      </c>
      <c r="I80" s="82">
        <v>976.16263883175645</v>
      </c>
      <c r="J80" s="80">
        <v>6172055</v>
      </c>
      <c r="K80" s="80">
        <v>3388737</v>
      </c>
      <c r="L80" s="80">
        <v>6897460</v>
      </c>
      <c r="M80" s="80">
        <v>3747075</v>
      </c>
      <c r="N80" s="80">
        <v>9035446</v>
      </c>
      <c r="O80" s="80">
        <v>4924156</v>
      </c>
      <c r="P80" s="80">
        <v>8280779</v>
      </c>
      <c r="Q80" s="80">
        <v>4437314</v>
      </c>
      <c r="R80" s="80">
        <f t="shared" ca="1" si="37"/>
        <v>8052196.0199999996</v>
      </c>
      <c r="S80" s="80">
        <f t="shared" ca="1" si="38"/>
        <v>4207680</v>
      </c>
      <c r="T80" s="80">
        <f t="shared" ca="1" si="39"/>
        <v>7390719.96</v>
      </c>
      <c r="U80" s="80">
        <f t="shared" ca="1" si="40"/>
        <v>3905630</v>
      </c>
      <c r="V80" s="80">
        <f t="shared" ca="1" si="41"/>
        <v>8918968.1700000018</v>
      </c>
      <c r="W80" s="80">
        <f t="shared" ca="1" si="42"/>
        <v>4689056</v>
      </c>
      <c r="X80" s="80">
        <f t="shared" ca="1" si="43"/>
        <v>4859553.580000001</v>
      </c>
      <c r="Y80" s="80">
        <f t="shared" ca="1" si="44"/>
        <v>2624761</v>
      </c>
      <c r="Z80">
        <f t="shared" si="30"/>
        <v>30385740</v>
      </c>
      <c r="AA80">
        <f t="shared" si="31"/>
        <v>16497282</v>
      </c>
      <c r="AB80" s="3">
        <f t="shared" si="45"/>
        <v>13888458</v>
      </c>
      <c r="AC80" s="2">
        <f t="shared" si="32"/>
        <v>0.54292842629470273</v>
      </c>
      <c r="AD80" s="1">
        <f t="shared" ca="1" si="46"/>
        <v>1.2281155687198046E-7</v>
      </c>
      <c r="AH80" s="1">
        <f t="shared" si="33"/>
        <v>77</v>
      </c>
      <c r="AI80" s="10">
        <f t="shared" si="59"/>
        <v>93</v>
      </c>
      <c r="AJ80" s="14" t="str">
        <f t="shared" si="60"/>
        <v>Otago Regional</v>
      </c>
      <c r="AK80" s="14">
        <f t="shared" ca="1" si="61"/>
        <v>115653</v>
      </c>
      <c r="AL80" s="14">
        <f t="shared" ca="1" si="57"/>
        <v>56504434950</v>
      </c>
      <c r="AM80" s="14">
        <f t="shared" ca="1" si="57"/>
        <v>2630916.348699999</v>
      </c>
      <c r="AN80" s="14">
        <f t="shared" ca="1" si="57"/>
        <v>59733837427.900002</v>
      </c>
      <c r="AO80" s="14">
        <f t="shared" ca="1" si="57"/>
        <v>210753</v>
      </c>
      <c r="AP80" s="14">
        <f t="shared" ca="1" si="57"/>
        <v>116317</v>
      </c>
      <c r="AQ80" s="14">
        <f t="shared" ca="1" si="57"/>
        <v>65457590350</v>
      </c>
      <c r="AR80" s="14">
        <f t="shared" ca="1" si="57"/>
        <v>2550769.5691999984</v>
      </c>
      <c r="AS80" s="11">
        <f t="shared" ca="1" si="57"/>
        <v>74898488662.5</v>
      </c>
      <c r="AU80" s="1">
        <f t="shared" si="48"/>
        <v>77</v>
      </c>
      <c r="AV80" s="10">
        <f t="shared" si="62"/>
        <v>93</v>
      </c>
      <c r="AW80" s="14" t="str">
        <f t="shared" si="63"/>
        <v>Otago Regional</v>
      </c>
      <c r="AX80" s="14">
        <f t="shared" ca="1" si="64"/>
        <v>9198.4000000000015</v>
      </c>
      <c r="AY80" s="14">
        <f t="shared" ca="1" si="58"/>
        <v>9211.4999999999982</v>
      </c>
      <c r="AZ80" s="14">
        <f t="shared" ca="1" si="58"/>
        <v>9192.2000000000007</v>
      </c>
      <c r="BA80" s="11">
        <f t="shared" ca="1" si="58"/>
        <v>9204.1</v>
      </c>
      <c r="BC80" s="1">
        <f t="shared" si="50"/>
        <v>43</v>
      </c>
      <c r="BD80" t="s">
        <v>73</v>
      </c>
      <c r="BE80">
        <v>88179.57</v>
      </c>
      <c r="BF80">
        <v>49138</v>
      </c>
      <c r="BG80">
        <v>139176.06</v>
      </c>
      <c r="BH80">
        <v>78287</v>
      </c>
      <c r="BI80">
        <v>145060.54999999999</v>
      </c>
      <c r="BJ80">
        <v>85412</v>
      </c>
      <c r="BK80">
        <v>82825.08</v>
      </c>
      <c r="BL80">
        <v>47088</v>
      </c>
      <c r="BO80" s="1">
        <f t="shared" si="51"/>
        <v>72</v>
      </c>
      <c r="BP80" t="s">
        <v>63</v>
      </c>
      <c r="BQ80" s="106">
        <v>0.6</v>
      </c>
      <c r="BR80" s="106">
        <v>0.59</v>
      </c>
      <c r="BS80" s="106">
        <v>0.57999999999999996</v>
      </c>
      <c r="BT80" s="106">
        <v>0.51</v>
      </c>
      <c r="BU80" s="2">
        <f t="shared" ca="1" si="52"/>
        <v>0.51</v>
      </c>
      <c r="BV80" s="2"/>
      <c r="BW80" s="1" t="str">
        <f t="shared" si="53"/>
        <v>Otago Regional</v>
      </c>
      <c r="BX80" s="107">
        <f t="shared" ca="1" si="54"/>
        <v>-2.8257798065411857E-4</v>
      </c>
      <c r="BY80" s="2">
        <f t="shared" ca="1" si="55"/>
        <v>0.4219283794195004</v>
      </c>
      <c r="BZ80" s="2">
        <f t="shared" ca="1" si="56"/>
        <v>0.14648859100093636</v>
      </c>
    </row>
    <row r="81" spans="1:78" x14ac:dyDescent="0.25">
      <c r="A81">
        <v>94</v>
      </c>
      <c r="B81" t="s">
        <v>76</v>
      </c>
      <c r="C81" s="80">
        <v>6461</v>
      </c>
      <c r="D81" s="80">
        <f t="shared" ca="1" si="34"/>
        <v>6460.0999999999995</v>
      </c>
      <c r="E81" s="80">
        <v>30693323810</v>
      </c>
      <c r="F81" s="80">
        <f t="shared" ca="1" si="35"/>
        <v>31261749843.959999</v>
      </c>
      <c r="G81" s="80">
        <v>52967</v>
      </c>
      <c r="H81" s="80">
        <f t="shared" ca="1" si="36"/>
        <v>50591</v>
      </c>
      <c r="I81" s="82">
        <v>977.01255409825228</v>
      </c>
      <c r="J81" s="80">
        <v>141210</v>
      </c>
      <c r="K81" s="80">
        <v>126210</v>
      </c>
      <c r="L81" s="80">
        <v>199468</v>
      </c>
      <c r="M81" s="80">
        <v>168956</v>
      </c>
      <c r="N81" s="80">
        <v>125276</v>
      </c>
      <c r="O81" s="80">
        <v>113289</v>
      </c>
      <c r="P81" s="80">
        <v>145906</v>
      </c>
      <c r="Q81" s="80">
        <v>94270</v>
      </c>
      <c r="R81" s="80">
        <f t="shared" ca="1" si="37"/>
        <v>145030.76999999999</v>
      </c>
      <c r="S81" s="80">
        <f t="shared" ca="1" si="38"/>
        <v>94270</v>
      </c>
      <c r="T81" s="80">
        <f t="shared" ca="1" si="39"/>
        <v>388429.24</v>
      </c>
      <c r="U81" s="80">
        <f t="shared" ca="1" si="40"/>
        <v>252479</v>
      </c>
      <c r="V81" s="80">
        <f t="shared" ca="1" si="41"/>
        <v>163103.5</v>
      </c>
      <c r="W81" s="80">
        <f t="shared" ca="1" si="42"/>
        <v>103806</v>
      </c>
      <c r="X81" s="80">
        <f t="shared" ca="1" si="43"/>
        <v>104410.94</v>
      </c>
      <c r="Y81" s="80">
        <f t="shared" ca="1" si="44"/>
        <v>66823</v>
      </c>
      <c r="Z81">
        <f t="shared" si="30"/>
        <v>611860</v>
      </c>
      <c r="AA81">
        <f t="shared" si="31"/>
        <v>502725</v>
      </c>
      <c r="AB81" s="3">
        <f t="shared" si="45"/>
        <v>109135</v>
      </c>
      <c r="AC81" s="2">
        <f t="shared" si="32"/>
        <v>0.82163403392933021</v>
      </c>
      <c r="AD81" s="1">
        <f t="shared" ca="1" si="46"/>
        <v>2.0664550232296541E-7</v>
      </c>
      <c r="AH81" s="1">
        <f>MATCH(B81,AJ$4:AJ$81,0)</f>
        <v>78</v>
      </c>
      <c r="AI81" s="12">
        <f t="shared" si="59"/>
        <v>94</v>
      </c>
      <c r="AJ81" s="17" t="str">
        <f t="shared" si="60"/>
        <v>Southland Regional</v>
      </c>
      <c r="AK81" s="17">
        <f t="shared" ca="1" si="61"/>
        <v>52967</v>
      </c>
      <c r="AL81" s="17">
        <f t="shared" ca="1" si="57"/>
        <v>28277751305</v>
      </c>
      <c r="AM81" s="17">
        <f t="shared" ca="1" si="57"/>
        <v>1245829.5924999989</v>
      </c>
      <c r="AN81" s="17">
        <f t="shared" ca="1" si="57"/>
        <v>30693323810.099998</v>
      </c>
      <c r="AO81" s="17">
        <f t="shared" ca="1" si="57"/>
        <v>125556</v>
      </c>
      <c r="AP81" s="17">
        <f t="shared" ca="1" si="57"/>
        <v>50591</v>
      </c>
      <c r="AQ81" s="17">
        <f t="shared" ca="1" si="57"/>
        <v>30969454108</v>
      </c>
      <c r="AR81" s="17">
        <f t="shared" ca="1" si="57"/>
        <v>1245301.7866999989</v>
      </c>
      <c r="AS81" s="13">
        <f t="shared" ca="1" si="57"/>
        <v>31261749843.959999</v>
      </c>
      <c r="AU81" s="1">
        <f t="shared" si="48"/>
        <v>78</v>
      </c>
      <c r="AV81" s="12">
        <f t="shared" si="62"/>
        <v>94</v>
      </c>
      <c r="AW81" s="17" t="str">
        <f t="shared" si="63"/>
        <v>Southland Regional</v>
      </c>
      <c r="AX81" s="17">
        <f t="shared" ca="1" si="64"/>
        <v>6460.0999999999995</v>
      </c>
      <c r="AY81" s="17">
        <f t="shared" ca="1" si="58"/>
        <v>6448.1</v>
      </c>
      <c r="AZ81" s="17">
        <f t="shared" ca="1" si="58"/>
        <v>6461.3000000000011</v>
      </c>
      <c r="BA81" s="13">
        <f t="shared" ca="1" si="58"/>
        <v>6471.6</v>
      </c>
      <c r="BC81" s="1">
        <f t="shared" si="50"/>
        <v>46</v>
      </c>
      <c r="BD81" t="s">
        <v>56</v>
      </c>
      <c r="BE81">
        <v>2451120.1999999997</v>
      </c>
      <c r="BF81">
        <v>1439877</v>
      </c>
      <c r="BG81">
        <v>5460299.2199999997</v>
      </c>
      <c r="BH81">
        <v>3201059</v>
      </c>
      <c r="BI81">
        <v>3734074.29</v>
      </c>
      <c r="BJ81">
        <v>2182610</v>
      </c>
      <c r="BK81">
        <v>1001993.2</v>
      </c>
      <c r="BL81">
        <v>591176</v>
      </c>
      <c r="BO81" s="1">
        <f t="shared" si="51"/>
        <v>75</v>
      </c>
      <c r="BP81" t="s">
        <v>64</v>
      </c>
      <c r="BQ81" s="106">
        <v>0.54</v>
      </c>
      <c r="BR81" s="106">
        <v>0.53</v>
      </c>
      <c r="BS81" s="106">
        <v>0.52</v>
      </c>
      <c r="BT81" s="106">
        <v>0.51</v>
      </c>
      <c r="BU81" s="2">
        <f t="shared" ca="1" si="52"/>
        <v>0.51</v>
      </c>
      <c r="BV81" s="2"/>
      <c r="BW81" s="1" t="str">
        <f t="shared" si="53"/>
        <v>Southland Regional</v>
      </c>
      <c r="BX81" s="107">
        <f t="shared" ca="1" si="54"/>
        <v>-1.3929732239599841E-4</v>
      </c>
      <c r="BY81" s="2">
        <f t="shared" ca="1" si="55"/>
        <v>1.8519533351249621E-2</v>
      </c>
      <c r="BZ81" s="2">
        <f t="shared" ca="1" si="56"/>
        <v>-4.4858119206298258E-2</v>
      </c>
    </row>
    <row r="82" spans="1:78" x14ac:dyDescent="0.25">
      <c r="A82">
        <v>99</v>
      </c>
      <c r="B82" t="s">
        <v>125</v>
      </c>
      <c r="J82" s="80">
        <v>1521786241.74</v>
      </c>
      <c r="K82" s="80">
        <v>816023883.74000001</v>
      </c>
      <c r="L82" s="80">
        <v>1495135714.8499999</v>
      </c>
      <c r="M82" s="80">
        <v>800687584.61999989</v>
      </c>
      <c r="N82" s="80">
        <v>1501961623</v>
      </c>
      <c r="O82" s="80">
        <v>799288037.98449993</v>
      </c>
      <c r="P82" s="80">
        <v>1622866641</v>
      </c>
      <c r="Q82" s="80">
        <v>851480656.25</v>
      </c>
      <c r="R82" s="80">
        <f ca="1">SUM(R4:R81)</f>
        <v>1792123422.6599998</v>
      </c>
      <c r="S82" s="80">
        <f t="shared" ref="S82:Y82" ca="1" si="65">SUM(S4:S81)</f>
        <v>965805654</v>
      </c>
      <c r="T82" s="80">
        <f t="shared" ca="1" si="65"/>
        <v>1748120690.9000001</v>
      </c>
      <c r="U82" s="80">
        <f t="shared" ca="1" si="65"/>
        <v>970092025</v>
      </c>
      <c r="V82" s="80">
        <f t="shared" ca="1" si="65"/>
        <v>1754186820.5999999</v>
      </c>
      <c r="W82" s="80">
        <f t="shared" ca="1" si="65"/>
        <v>952841324</v>
      </c>
      <c r="X82" s="80">
        <f t="shared" ca="1" si="65"/>
        <v>947163359.46000063</v>
      </c>
      <c r="Y82" s="80">
        <f t="shared" ca="1" si="65"/>
        <v>520286562.88</v>
      </c>
      <c r="Z82" s="1">
        <f t="shared" si="30"/>
        <v>6141750220.5900002</v>
      </c>
      <c r="AA82" s="1">
        <f t="shared" si="31"/>
        <v>3267480162.5944996</v>
      </c>
      <c r="AB82" s="3">
        <f t="shared" ref="AB82" si="66">Z82-AA82</f>
        <v>2874270057.9955006</v>
      </c>
      <c r="AC82" s="2">
        <f t="shared" si="32"/>
        <v>0.53201124194865301</v>
      </c>
      <c r="BW82" s="1"/>
      <c r="BX82" s="107"/>
      <c r="BY82" s="2"/>
      <c r="BZ82" s="2"/>
    </row>
    <row r="83" spans="1:78" x14ac:dyDescent="0.25">
      <c r="K83" s="1"/>
      <c r="L83" s="1"/>
      <c r="M83" s="1"/>
      <c r="N83" s="1"/>
      <c r="O83" s="1"/>
      <c r="P83" s="1"/>
      <c r="Q83" s="1"/>
      <c r="Z83" s="1"/>
      <c r="AA83" s="1"/>
      <c r="AB83" s="3"/>
      <c r="AC83" s="2"/>
      <c r="AJ83" s="1"/>
      <c r="AK83" s="1"/>
      <c r="AL83" s="1"/>
      <c r="AM83" s="1"/>
      <c r="AN83" s="1"/>
      <c r="AO83" s="1"/>
      <c r="AP83" s="1"/>
      <c r="AQ83" s="1"/>
      <c r="AR83" s="1"/>
      <c r="AS83" s="1"/>
      <c r="BD83" s="1"/>
      <c r="BE83" s="1"/>
      <c r="BF83" s="1"/>
      <c r="BG83" s="1"/>
      <c r="BH83" s="1"/>
      <c r="BI83" s="1"/>
      <c r="BJ83" s="1"/>
      <c r="BW83" t="s">
        <v>125</v>
      </c>
      <c r="BX83" s="4">
        <f ca="1">AVERAGE(BX4:BX81)</f>
        <v>-3.042882222385527E-4</v>
      </c>
      <c r="BY83" s="4">
        <f ca="1">AVERAGE(BY4:BY81)</f>
        <v>0.17729542120354644</v>
      </c>
      <c r="BZ83" s="4">
        <f ca="1">AVERAGE(BZ4:BZ81)</f>
        <v>2.1618868813826227E-3</v>
      </c>
    </row>
    <row r="84" spans="1:78" s="1" customFormat="1" x14ac:dyDescent="0.25">
      <c r="A84">
        <f>COLUMN()</f>
        <v>1</v>
      </c>
      <c r="B84" s="1">
        <f>COLUMN()</f>
        <v>2</v>
      </c>
      <c r="C84" s="1">
        <f>COLUMN()</f>
        <v>3</v>
      </c>
      <c r="D84" s="1">
        <f>COLUMN()</f>
        <v>4</v>
      </c>
      <c r="E84" s="1">
        <f>COLUMN()</f>
        <v>5</v>
      </c>
      <c r="F84" s="1">
        <f>COLUMN()</f>
        <v>6</v>
      </c>
      <c r="G84" s="1">
        <f>COLUMN()</f>
        <v>7</v>
      </c>
      <c r="H84" s="1">
        <f>COLUMN()</f>
        <v>8</v>
      </c>
      <c r="I84" s="1">
        <f>COLUMN()</f>
        <v>9</v>
      </c>
      <c r="J84" s="1">
        <f>COLUMN()</f>
        <v>10</v>
      </c>
      <c r="K84" s="1">
        <f>COLUMN()</f>
        <v>11</v>
      </c>
      <c r="L84" s="1">
        <f>COLUMN()</f>
        <v>12</v>
      </c>
      <c r="M84" s="1">
        <f>COLUMN()</f>
        <v>13</v>
      </c>
      <c r="N84" s="1">
        <f>COLUMN()</f>
        <v>14</v>
      </c>
      <c r="O84" s="1">
        <f>COLUMN()</f>
        <v>15</v>
      </c>
      <c r="P84" s="1">
        <f>COLUMN()</f>
        <v>16</v>
      </c>
      <c r="Q84" s="1">
        <f>COLUMN()</f>
        <v>17</v>
      </c>
      <c r="R84" s="1">
        <f>COLUMN()</f>
        <v>18</v>
      </c>
      <c r="S84" s="1">
        <f>COLUMN()</f>
        <v>19</v>
      </c>
      <c r="T84" s="1">
        <f>COLUMN()</f>
        <v>20</v>
      </c>
      <c r="U84" s="1">
        <f>COLUMN()</f>
        <v>21</v>
      </c>
      <c r="V84" s="1">
        <f>COLUMN()</f>
        <v>22</v>
      </c>
      <c r="W84" s="1">
        <f>COLUMN()</f>
        <v>23</v>
      </c>
      <c r="X84" s="1">
        <f>COLUMN()</f>
        <v>24</v>
      </c>
      <c r="Y84" s="1">
        <f>COLUMN()</f>
        <v>25</v>
      </c>
      <c r="Z84" s="1">
        <f>COLUMN()</f>
        <v>26</v>
      </c>
      <c r="AA84" s="1">
        <f>COLUMN()</f>
        <v>27</v>
      </c>
      <c r="AB84" s="1">
        <f>COLUMN()</f>
        <v>28</v>
      </c>
      <c r="AC84" s="1">
        <f>COLUMN()</f>
        <v>29</v>
      </c>
      <c r="AD84" s="1">
        <f>COLUMN()</f>
        <v>30</v>
      </c>
      <c r="AE84" s="1">
        <f>COLUMN()</f>
        <v>31</v>
      </c>
      <c r="AJ84"/>
      <c r="AK84"/>
      <c r="AL84"/>
      <c r="AM84"/>
      <c r="AN84"/>
      <c r="AO84"/>
      <c r="AP84"/>
      <c r="AQ84"/>
      <c r="AR84"/>
      <c r="AS84"/>
      <c r="AU84"/>
      <c r="AV84"/>
      <c r="AW84"/>
      <c r="AX84"/>
      <c r="AY84"/>
      <c r="AZ84"/>
      <c r="BA84"/>
      <c r="BD84"/>
      <c r="BE84"/>
      <c r="BF84"/>
      <c r="BG84"/>
      <c r="BH84"/>
      <c r="BI84"/>
      <c r="BJ84"/>
      <c r="BP84"/>
      <c r="BQ84"/>
      <c r="BR84"/>
      <c r="BS84"/>
      <c r="BT84"/>
    </row>
  </sheetData>
  <hyperlinks>
    <hyperlink ref="A1" location="'read me'!A1" display="read me"/>
    <hyperlink ref="A2" location="Calculation!A1" display="Calculation"/>
  </hyperlinks>
  <pageMargins left="0.23622047244094491" right="0.23622047244094491" top="0" bottom="0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Read Me</vt:lpstr>
      <vt:lpstr>Calculation</vt:lpstr>
      <vt:lpstr>Model</vt:lpstr>
      <vt:lpstr>Inputs</vt:lpstr>
      <vt:lpstr>Chart1</vt:lpstr>
      <vt:lpstr>Chart2</vt:lpstr>
      <vt:lpstr>AOName</vt:lpstr>
      <vt:lpstr>Calculation!Print_Area</vt:lpstr>
      <vt:lpstr>'Read Me'!Print_Area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Sandy Fong</cp:lastModifiedBy>
  <cp:lastPrinted>2017-03-15T03:03:24Z</cp:lastPrinted>
  <dcterms:created xsi:type="dcterms:W3CDTF">2013-12-23T02:29:24Z</dcterms:created>
  <dcterms:modified xsi:type="dcterms:W3CDTF">2017-04-06T04:21:32Z</dcterms:modified>
</cp:coreProperties>
</file>