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86" windowWidth="23775" windowHeight="11970" activeTab="0"/>
  </bookViews>
  <sheets>
    <sheet name="Input_Outpu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<sst xmlns="http://schemas.openxmlformats.org/spreadsheetml/2006/main" count="149" uniqueCount="92">
  <si>
    <t>School Type</t>
  </si>
  <si>
    <t>Area Type</t>
  </si>
  <si>
    <t>Approx. Enrolment Age</t>
  </si>
  <si>
    <t>Enrolment Age</t>
  </si>
  <si>
    <t>Primary</t>
  </si>
  <si>
    <t>5-10</t>
  </si>
  <si>
    <t>Intermediate</t>
  </si>
  <si>
    <t>11-12</t>
  </si>
  <si>
    <t>High School</t>
  </si>
  <si>
    <t>13-17</t>
  </si>
  <si>
    <t>Secondary Urban Area</t>
  </si>
  <si>
    <t>Rural Area</t>
  </si>
  <si>
    <t>Enrolment Size:</t>
  </si>
  <si>
    <t>Start Col</t>
  </si>
  <si>
    <t>OffsetCol</t>
  </si>
  <si>
    <t>Offset</t>
  </si>
  <si>
    <t>Vehicle Passenger</t>
  </si>
  <si>
    <t>Vehicle Driver</t>
  </si>
  <si>
    <t>Walk</t>
  </si>
  <si>
    <t>Bicycle</t>
  </si>
  <si>
    <t>Other</t>
  </si>
  <si>
    <t>5-17</t>
  </si>
  <si>
    <t>All Ages</t>
  </si>
  <si>
    <t>Cycle</t>
  </si>
  <si>
    <t>No. of Students by Mode</t>
  </si>
  <si>
    <t>Service Vehicle Trips</t>
  </si>
  <si>
    <t>Student Driver Vehicle Trips</t>
  </si>
  <si>
    <t>AM (8AM-9AM)</t>
  </si>
  <si>
    <t>PM (3PM-4PM)</t>
  </si>
  <si>
    <t>PM Peak (3PM to 4PM)</t>
  </si>
  <si>
    <t>AM Peak (8AM to 9AM)</t>
  </si>
  <si>
    <t>Outputs</t>
  </si>
  <si>
    <t>P.T.</t>
  </si>
  <si>
    <t>V. Driver</t>
  </si>
  <si>
    <t>V. Pass.</t>
  </si>
  <si>
    <t>Inputs</t>
  </si>
  <si>
    <t>School Type (drop-down menu):</t>
  </si>
  <si>
    <t>Area Type (drop-down menu):</t>
  </si>
  <si>
    <t>Mode Split (%)</t>
  </si>
  <si>
    <t>Student Passenger Vehicle Trips</t>
  </si>
  <si>
    <t>Staff Trip Legs</t>
  </si>
  <si>
    <t>Auckland</t>
  </si>
  <si>
    <t>Primary School</t>
  </si>
  <si>
    <t>Intermediate School</t>
  </si>
  <si>
    <t>Bus</t>
  </si>
  <si>
    <t>Taxi</t>
  </si>
  <si>
    <t>Vehicle Occupancy</t>
  </si>
  <si>
    <t>Students per arrival vehicle</t>
  </si>
  <si>
    <t>All</t>
  </si>
  <si>
    <t>trip legs/student/day</t>
  </si>
  <si>
    <t>Peak Flow (% vehicle trips)</t>
  </si>
  <si>
    <t>Wellington</t>
  </si>
  <si>
    <t>Canterbury</t>
  </si>
  <si>
    <t>C</t>
  </si>
  <si>
    <t>H</t>
  </si>
  <si>
    <t>Other Major Urban Area</t>
  </si>
  <si>
    <t>M</t>
  </si>
  <si>
    <t>R</t>
  </si>
  <si>
    <t>W</t>
  </si>
  <si>
    <t>AB</t>
  </si>
  <si>
    <t>www.abley.com</t>
  </si>
  <si>
    <t>phone</t>
  </si>
  <si>
    <t>email</t>
  </si>
  <si>
    <t>steve@abley.com</t>
  </si>
  <si>
    <t>Sample Size (unweighted trip legs)</t>
  </si>
  <si>
    <t>Arrival/Departure Trip Legs</t>
  </si>
  <si>
    <t>Arrival Mode Split</t>
  </si>
  <si>
    <t>Departure Mode Split</t>
  </si>
  <si>
    <t>Students by Mode of Travel - Arrivals</t>
  </si>
  <si>
    <t>Students by Mode of Travel - Departures</t>
  </si>
  <si>
    <t>Arrivals</t>
  </si>
  <si>
    <t>Departures</t>
  </si>
  <si>
    <t>School Trips undertaken by Private Motor Vehicles</t>
  </si>
  <si>
    <t>Total Daily Vehicles</t>
  </si>
  <si>
    <t xml:space="preserve">   Vehicles</t>
  </si>
  <si>
    <t>Peak Hour Private Motor Vehicles</t>
  </si>
  <si>
    <t xml:space="preserve">         Including taxi passengers.</t>
  </si>
  <si>
    <t xml:space="preserve">         One staff member per 20 students; all drive.</t>
  </si>
  <si>
    <t xml:space="preserve">         Service vehicles represent 1% of total daily flows.</t>
  </si>
  <si>
    <t>Deaprtures</t>
  </si>
  <si>
    <t>Total daily student trips:</t>
  </si>
  <si>
    <t xml:space="preserve">   students</t>
  </si>
  <si>
    <t xml:space="preserve">   arrivals + departures</t>
  </si>
  <si>
    <t>Trips by Mode</t>
  </si>
  <si>
    <t>Standard Error</t>
  </si>
  <si>
    <t>err+</t>
  </si>
  <si>
    <t>err-</t>
  </si>
  <si>
    <t>s.e. ModeSplit</t>
  </si>
  <si>
    <t>s.e. Trips</t>
  </si>
  <si>
    <t>-err</t>
  </si>
  <si>
    <t>+err</t>
  </si>
  <si>
    <t>+64(0)3 377 4703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</si>
</sst>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2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63"/>
      <name val="Calibri"/>
      <family val="2"/>
    </font>
    <font>
      <b/>
      <sz val="11"/>
      <color indexed="48"/>
      <name val="Calibri"/>
      <family val="2"/>
    </font>
    <font>
      <b/>
      <sz val="12"/>
      <color indexed="4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i/>
      <sz val="11"/>
      <color indexed="9"/>
      <name val="Calibri"/>
      <family val="2"/>
    </font>
    <font>
      <b/>
      <sz val="12"/>
      <color indexed="10"/>
      <name val="Calibri"/>
      <family val="2"/>
    </font>
    <font>
      <i/>
      <sz val="10"/>
      <color indexed="63"/>
      <name val="Calibri"/>
      <family val="2"/>
    </font>
    <font>
      <sz val="11"/>
      <color indexed="63"/>
      <name val="Calibri"/>
      <family val="2"/>
    </font>
    <font>
      <b/>
      <sz val="12"/>
      <color indexed="52"/>
      <name val="Calibri"/>
      <family val="2"/>
    </font>
    <font>
      <b/>
      <sz val="11"/>
      <color indexed="63"/>
      <name val="Calibri"/>
      <family val="2"/>
    </font>
    <font>
      <u val="double"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48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u val="single"/>
      <sz val="13"/>
      <color indexed="1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9"/>
      <name val="Calibri"/>
      <family val="2"/>
    </font>
    <font>
      <sz val="11"/>
      <color indexed="46"/>
      <name val="Calibri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2" fillId="2" borderId="0" xfId="0" applyFont="1" applyFill="1" applyAlignment="1" applyProtection="1">
      <alignment/>
      <protection hidden="1"/>
    </xf>
    <xf numFmtId="0" fontId="25" fillId="2" borderId="0" xfId="2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 quotePrefix="1">
      <alignment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7" fillId="3" borderId="1" xfId="0" applyFont="1" applyFill="1" applyBorder="1" applyAlignment="1" applyProtection="1">
      <alignment/>
      <protection hidden="1"/>
    </xf>
    <xf numFmtId="0" fontId="3" fillId="3" borderId="2" xfId="0" applyFont="1" applyFill="1" applyBorder="1" applyAlignment="1" applyProtection="1">
      <alignment/>
      <protection hidden="1"/>
    </xf>
    <xf numFmtId="0" fontId="3" fillId="3" borderId="3" xfId="0" applyFont="1" applyFill="1" applyBorder="1" applyAlignment="1" applyProtection="1">
      <alignment/>
      <protection hidden="1"/>
    </xf>
    <xf numFmtId="0" fontId="3" fillId="3" borderId="4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0" fontId="24" fillId="2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 quotePrefix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17" fontId="8" fillId="2" borderId="0" xfId="0" applyNumberFormat="1" applyFont="1" applyFill="1" applyAlignment="1" applyProtection="1" quotePrefix="1">
      <alignment horizontal="center"/>
      <protection hidden="1"/>
    </xf>
    <xf numFmtId="0" fontId="3" fillId="3" borderId="6" xfId="0" applyFont="1" applyFill="1" applyBorder="1" applyAlignment="1" applyProtection="1">
      <alignment/>
      <protection hidden="1"/>
    </xf>
    <xf numFmtId="0" fontId="3" fillId="3" borderId="7" xfId="0" applyFont="1" applyFill="1" applyBorder="1" applyAlignment="1" applyProtection="1">
      <alignment/>
      <protection hidden="1"/>
    </xf>
    <xf numFmtId="0" fontId="3" fillId="3" borderId="8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3" borderId="1" xfId="0" applyFont="1" applyFill="1" applyBorder="1" applyAlignment="1" applyProtection="1">
      <alignment/>
      <protection hidden="1"/>
    </xf>
    <xf numFmtId="0" fontId="8" fillId="3" borderId="2" xfId="0" applyFont="1" applyFill="1" applyBorder="1" applyAlignment="1" applyProtection="1">
      <alignment/>
      <protection hidden="1"/>
    </xf>
    <xf numFmtId="1" fontId="6" fillId="0" borderId="9" xfId="0" applyNumberFormat="1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8" fillId="3" borderId="5" xfId="0" applyFont="1" applyFill="1" applyBorder="1" applyAlignment="1" applyProtection="1">
      <alignment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/>
      <protection hidden="1"/>
    </xf>
    <xf numFmtId="172" fontId="5" fillId="0" borderId="10" xfId="0" applyNumberFormat="1" applyFont="1" applyFill="1" applyBorder="1" applyAlignment="1" applyProtection="1">
      <alignment horizontal="center"/>
      <protection hidden="1"/>
    </xf>
    <xf numFmtId="172" fontId="5" fillId="0" borderId="11" xfId="0" applyNumberFormat="1" applyFont="1" applyFill="1" applyBorder="1" applyAlignment="1" applyProtection="1">
      <alignment horizontal="center"/>
      <protection hidden="1"/>
    </xf>
    <xf numFmtId="172" fontId="21" fillId="2" borderId="11" xfId="0" applyNumberFormat="1" applyFont="1" applyFill="1" applyBorder="1" applyAlignment="1" applyProtection="1">
      <alignment horizontal="center"/>
      <protection hidden="1"/>
    </xf>
    <xf numFmtId="172" fontId="5" fillId="0" borderId="12" xfId="0" applyNumberFormat="1" applyFont="1" applyFill="1" applyBorder="1" applyAlignment="1" applyProtection="1">
      <alignment horizontal="center"/>
      <protection hidden="1"/>
    </xf>
    <xf numFmtId="0" fontId="30" fillId="3" borderId="0" xfId="0" applyFont="1" applyFill="1" applyBorder="1" applyAlignment="1" applyProtection="1">
      <alignment/>
      <protection hidden="1"/>
    </xf>
    <xf numFmtId="3" fontId="9" fillId="3" borderId="0" xfId="0" applyNumberFormat="1" applyFont="1" applyFill="1" applyBorder="1" applyAlignment="1" applyProtection="1">
      <alignment/>
      <protection hidden="1"/>
    </xf>
    <xf numFmtId="3" fontId="5" fillId="0" borderId="13" xfId="0" applyNumberFormat="1" applyFont="1" applyFill="1" applyBorder="1" applyAlignment="1" applyProtection="1">
      <alignment horizontal="center"/>
      <protection hidden="1"/>
    </xf>
    <xf numFmtId="3" fontId="5" fillId="0" borderId="14" xfId="0" applyNumberFormat="1" applyFont="1" applyFill="1" applyBorder="1" applyAlignment="1" applyProtection="1">
      <alignment horizontal="center"/>
      <protection hidden="1"/>
    </xf>
    <xf numFmtId="3" fontId="5" fillId="0" borderId="15" xfId="0" applyNumberFormat="1" applyFont="1" applyFill="1" applyBorder="1" applyAlignment="1" applyProtection="1">
      <alignment horizontal="center"/>
      <protection hidden="1"/>
    </xf>
    <xf numFmtId="3" fontId="3" fillId="3" borderId="0" xfId="0" applyNumberFormat="1" applyFont="1" applyFill="1" applyBorder="1" applyAlignment="1" applyProtection="1">
      <alignment/>
      <protection hidden="1"/>
    </xf>
    <xf numFmtId="3" fontId="5" fillId="0" borderId="16" xfId="0" applyNumberFormat="1" applyFont="1" applyFill="1" applyBorder="1" applyAlignment="1" applyProtection="1">
      <alignment horizontal="center"/>
      <protection hidden="1"/>
    </xf>
    <xf numFmtId="3" fontId="5" fillId="0" borderId="17" xfId="0" applyNumberFormat="1" applyFont="1" applyFill="1" applyBorder="1" applyAlignment="1" applyProtection="1">
      <alignment horizontal="center"/>
      <protection hidden="1"/>
    </xf>
    <xf numFmtId="3" fontId="5" fillId="0" borderId="18" xfId="0" applyNumberFormat="1" applyFont="1" applyFill="1" applyBorder="1" applyAlignment="1" applyProtection="1">
      <alignment horizontal="center"/>
      <protection hidden="1"/>
    </xf>
    <xf numFmtId="3" fontId="5" fillId="3" borderId="0" xfId="0" applyNumberFormat="1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3" fontId="6" fillId="0" borderId="19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/>
      <protection hidden="1"/>
    </xf>
    <xf numFmtId="1" fontId="5" fillId="0" borderId="19" xfId="0" applyNumberFormat="1" applyFont="1" applyFill="1" applyBorder="1" applyAlignment="1" applyProtection="1">
      <alignment horizontal="center"/>
      <protection hidden="1"/>
    </xf>
    <xf numFmtId="3" fontId="3" fillId="3" borderId="20" xfId="0" applyNumberFormat="1" applyFont="1" applyFill="1" applyBorder="1" applyAlignment="1" applyProtection="1">
      <alignment horizontal="center"/>
      <protection hidden="1"/>
    </xf>
    <xf numFmtId="1" fontId="5" fillId="3" borderId="20" xfId="0" applyNumberFormat="1" applyFont="1" applyFill="1" applyBorder="1" applyAlignment="1" applyProtection="1">
      <alignment horizontal="center"/>
      <protection hidden="1"/>
    </xf>
    <xf numFmtId="3" fontId="6" fillId="0" borderId="20" xfId="0" applyNumberFormat="1" applyFont="1" applyFill="1" applyBorder="1" applyAlignment="1" applyProtection="1">
      <alignment horizontal="center"/>
      <protection hidden="1"/>
    </xf>
    <xf numFmtId="1" fontId="5" fillId="0" borderId="20" xfId="0" applyNumberFormat="1" applyFont="1" applyFill="1" applyBorder="1" applyAlignment="1" applyProtection="1">
      <alignment horizontal="center"/>
      <protection hidden="1"/>
    </xf>
    <xf numFmtId="0" fontId="3" fillId="3" borderId="20" xfId="0" applyFont="1" applyFill="1" applyBorder="1" applyAlignment="1" applyProtection="1">
      <alignment/>
      <protection hidden="1"/>
    </xf>
    <xf numFmtId="0" fontId="12" fillId="3" borderId="0" xfId="0" applyFont="1" applyFill="1" applyBorder="1" applyAlignment="1" applyProtection="1">
      <alignment/>
      <protection hidden="1"/>
    </xf>
    <xf numFmtId="3" fontId="6" fillId="0" borderId="21" xfId="0" applyNumberFormat="1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3" fontId="6" fillId="0" borderId="9" xfId="0" applyNumberFormat="1" applyFont="1" applyFill="1" applyBorder="1" applyAlignment="1" applyProtection="1">
      <alignment horizontal="center"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0" fontId="27" fillId="3" borderId="0" xfId="0" applyFont="1" applyFill="1" applyBorder="1" applyAlignment="1" applyProtection="1">
      <alignment horizontal="center"/>
      <protection hidden="1"/>
    </xf>
    <xf numFmtId="3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/>
      <protection hidden="1"/>
    </xf>
    <xf numFmtId="0" fontId="26" fillId="3" borderId="2" xfId="0" applyFont="1" applyFill="1" applyBorder="1" applyAlignment="1" applyProtection="1">
      <alignment/>
      <protection hidden="1"/>
    </xf>
    <xf numFmtId="0" fontId="26" fillId="3" borderId="3" xfId="0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hidden="1"/>
    </xf>
    <xf numFmtId="0" fontId="19" fillId="0" borderId="22" xfId="0" applyFont="1" applyBorder="1" applyAlignment="1" applyProtection="1">
      <alignment horizontal="center"/>
      <protection hidden="1"/>
    </xf>
    <xf numFmtId="0" fontId="19" fillId="0" borderId="2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2" fontId="18" fillId="0" borderId="22" xfId="0" applyNumberFormat="1" applyFont="1" applyFill="1" applyBorder="1" applyAlignment="1" applyProtection="1">
      <alignment/>
      <protection hidden="1"/>
    </xf>
    <xf numFmtId="2" fontId="18" fillId="0" borderId="23" xfId="0" applyNumberFormat="1" applyFont="1" applyFill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24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172" fontId="18" fillId="0" borderId="25" xfId="0" applyNumberFormat="1" applyFont="1" applyBorder="1" applyAlignment="1" applyProtection="1">
      <alignment/>
      <protection hidden="1"/>
    </xf>
    <xf numFmtId="172" fontId="18" fillId="0" borderId="26" xfId="0" applyNumberFormat="1" applyFont="1" applyBorder="1" applyAlignment="1" applyProtection="1">
      <alignment/>
      <protection hidden="1"/>
    </xf>
    <xf numFmtId="172" fontId="18" fillId="0" borderId="24" xfId="0" applyNumberFormat="1" applyFont="1" applyBorder="1" applyAlignment="1" applyProtection="1">
      <alignment/>
      <protection hidden="1"/>
    </xf>
    <xf numFmtId="172" fontId="18" fillId="0" borderId="0" xfId="0" applyNumberFormat="1" applyFont="1" applyBorder="1" applyAlignment="1" applyProtection="1">
      <alignment/>
      <protection hidden="1"/>
    </xf>
    <xf numFmtId="172" fontId="18" fillId="0" borderId="27" xfId="0" applyNumberFormat="1" applyFont="1" applyBorder="1" applyAlignment="1" applyProtection="1">
      <alignment/>
      <protection hidden="1"/>
    </xf>
    <xf numFmtId="172" fontId="18" fillId="0" borderId="7" xfId="0" applyNumberFormat="1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0" fillId="0" borderId="24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8" fillId="0" borderId="25" xfId="0" applyFont="1" applyFill="1" applyBorder="1" applyAlignment="1" applyProtection="1">
      <alignment/>
      <protection hidden="1"/>
    </xf>
    <xf numFmtId="0" fontId="18" fillId="0" borderId="26" xfId="0" applyFont="1" applyFill="1" applyBorder="1" applyAlignment="1" applyProtection="1">
      <alignment/>
      <protection hidden="1"/>
    </xf>
    <xf numFmtId="172" fontId="18" fillId="0" borderId="26" xfId="0" applyNumberFormat="1" applyFont="1" applyFill="1" applyBorder="1" applyAlignment="1" applyProtection="1">
      <alignment/>
      <protection hidden="1"/>
    </xf>
    <xf numFmtId="0" fontId="18" fillId="0" borderId="27" xfId="0" applyFont="1" applyFill="1" applyBorder="1" applyAlignment="1" applyProtection="1">
      <alignment/>
      <protection hidden="1"/>
    </xf>
    <xf numFmtId="0" fontId="18" fillId="0" borderId="7" xfId="0" applyFont="1" applyFill="1" applyBorder="1" applyAlignment="1" applyProtection="1">
      <alignment/>
      <protection hidden="1"/>
    </xf>
    <xf numFmtId="172" fontId="18" fillId="0" borderId="7" xfId="0" applyNumberFormat="1" applyFont="1" applyFill="1" applyBorder="1" applyAlignment="1" applyProtection="1">
      <alignment/>
      <protection hidden="1"/>
    </xf>
    <xf numFmtId="2" fontId="18" fillId="0" borderId="0" xfId="0" applyNumberFormat="1" applyFont="1" applyFill="1" applyBorder="1" applyAlignment="1" applyProtection="1">
      <alignment/>
      <protection hidden="1"/>
    </xf>
    <xf numFmtId="2" fontId="20" fillId="0" borderId="24" xfId="0" applyNumberFormat="1" applyFont="1" applyFill="1" applyBorder="1" applyAlignment="1" applyProtection="1">
      <alignment/>
      <protection hidden="1"/>
    </xf>
    <xf numFmtId="2" fontId="20" fillId="0" borderId="0" xfId="0" applyNumberFormat="1" applyFont="1" applyFill="1" applyBorder="1" applyAlignment="1" applyProtection="1">
      <alignment/>
      <protection hidden="1"/>
    </xf>
    <xf numFmtId="172" fontId="3" fillId="3" borderId="0" xfId="0" applyNumberFormat="1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3" fontId="2" fillId="3" borderId="0" xfId="0" applyNumberFormat="1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10" fillId="3" borderId="4" xfId="0" applyFont="1" applyFill="1" applyBorder="1" applyAlignment="1" applyProtection="1">
      <alignment/>
      <protection hidden="1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Input_Output!$O$21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Input_Output!$P$24:$V$24</c:f>
                <c:numCache>
                  <c:ptCount val="7"/>
                  <c:pt idx="0">
                    <c:v>12.986075430168583</c:v>
                  </c:pt>
                  <c:pt idx="1">
                    <c:v>0.8618007046003112</c:v>
                  </c:pt>
                  <c:pt idx="2">
                    <c:v>1.9799231409325577</c:v>
                  </c:pt>
                  <c:pt idx="3">
                    <c:v>0</c:v>
                  </c:pt>
                  <c:pt idx="4">
                    <c:v>35.742874419751374</c:v>
                  </c:pt>
                  <c:pt idx="5">
                    <c:v>0</c:v>
                  </c:pt>
                  <c:pt idx="6">
                    <c:v>0.4384782300554033</c:v>
                  </c:pt>
                </c:numCache>
              </c:numRef>
            </c:plus>
            <c:minus>
              <c:numRef>
                <c:f>Input_Output!$P$25:$V$25</c:f>
                <c:numCache>
                  <c:ptCount val="7"/>
                  <c:pt idx="0">
                    <c:v>12.986075430168583</c:v>
                  </c:pt>
                  <c:pt idx="1">
                    <c:v>0.8618007046003112</c:v>
                  </c:pt>
                  <c:pt idx="2">
                    <c:v>1.9799231409325577</c:v>
                  </c:pt>
                  <c:pt idx="3">
                    <c:v>0</c:v>
                  </c:pt>
                  <c:pt idx="4">
                    <c:v>35.742874419751374</c:v>
                  </c:pt>
                  <c:pt idx="5">
                    <c:v>0</c:v>
                  </c:pt>
                  <c:pt idx="6">
                    <c:v>0.4384782300554033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strRef>
              <c:f>Input_Output!$P$20:$V$20</c:f>
              <c:strCache/>
            </c:strRef>
          </c:cat>
          <c:val>
            <c:numRef>
              <c:f>Input_Output!$P$21:$V$21</c:f>
              <c:numCache>
                <c:ptCount val="7"/>
                <c:pt idx="0">
                  <c:v>133.1192491431053</c:v>
                </c:pt>
                <c:pt idx="1">
                  <c:v>10.121726348062541</c:v>
                </c:pt>
                <c:pt idx="2">
                  <c:v>22.78713261605703</c:v>
                </c:pt>
                <c:pt idx="3">
                  <c:v>0</c:v>
                </c:pt>
                <c:pt idx="4">
                  <c:v>358.76485537373514</c:v>
                </c:pt>
                <c:pt idx="5">
                  <c:v>0</c:v>
                </c:pt>
                <c:pt idx="6">
                  <c:v>5.193346503194393</c:v>
                </c:pt>
              </c:numCache>
            </c:numRef>
          </c:val>
        </c:ser>
        <c:ser>
          <c:idx val="1"/>
          <c:order val="1"/>
          <c:tx>
            <c:strRef>
              <c:f>Input_Output!$O$27</c:f>
              <c:strCache>
                <c:ptCount val="1"/>
                <c:pt idx="0">
                  <c:v>Deaprtures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Input_Output!$P$29:$V$29</c:f>
                <c:numCache>
                  <c:ptCount val="7"/>
                  <c:pt idx="0">
                    <c:v>13.831400542274844</c:v>
                  </c:pt>
                  <c:pt idx="1">
                    <c:v>1.1246030897133628</c:v>
                  </c:pt>
                  <c:pt idx="2">
                    <c:v>3.33535138984351</c:v>
                  </c:pt>
                  <c:pt idx="3">
                    <c:v>0</c:v>
                  </c:pt>
                  <c:pt idx="4">
                    <c:v>33.626264991560326</c:v>
                  </c:pt>
                  <c:pt idx="5">
                    <c:v>0.035493636015992355</c:v>
                  </c:pt>
                  <c:pt idx="6">
                    <c:v>0.28545245093361593</c:v>
                  </c:pt>
                </c:numCache>
              </c:numRef>
            </c:plus>
            <c:minus>
              <c:numRef>
                <c:f>Input_Output!$P$30:$V$30</c:f>
                <c:numCache>
                  <c:ptCount val="7"/>
                  <c:pt idx="0">
                    <c:v>13.831400542274844</c:v>
                  </c:pt>
                  <c:pt idx="1">
                    <c:v>1.1246030897133628</c:v>
                  </c:pt>
                  <c:pt idx="2">
                    <c:v>3.33535138984351</c:v>
                  </c:pt>
                  <c:pt idx="3">
                    <c:v>0</c:v>
                  </c:pt>
                  <c:pt idx="4">
                    <c:v>33.626264991560326</c:v>
                  </c:pt>
                  <c:pt idx="5">
                    <c:v>0.035493636015992355</c:v>
                  </c:pt>
                  <c:pt idx="6">
                    <c:v>0.28545245093361593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strRef>
              <c:f>Input_Output!$P$20:$V$20</c:f>
              <c:strCache/>
            </c:strRef>
          </c:cat>
          <c:val>
            <c:numRef>
              <c:f>Input_Output!$P$27:$V$27</c:f>
              <c:numCache>
                <c:ptCount val="7"/>
                <c:pt idx="0">
                  <c:v>141.0682488928926</c:v>
                </c:pt>
                <c:pt idx="1">
                  <c:v>13.14234625298173</c:v>
                </c:pt>
                <c:pt idx="2">
                  <c:v>37.57227215066148</c:v>
                </c:pt>
                <c:pt idx="3">
                  <c:v>0</c:v>
                </c:pt>
                <c:pt idx="4">
                  <c:v>334.3349294760554</c:v>
                </c:pt>
                <c:pt idx="5">
                  <c:v>0.42394665332199133</c:v>
                </c:pt>
                <c:pt idx="6">
                  <c:v>3.3915732265759306</c:v>
                </c:pt>
              </c:numCache>
            </c:numRef>
          </c:val>
        </c:ser>
        <c:gapWidth val="70"/>
        <c:axId val="41572937"/>
        <c:axId val="38612114"/>
      </c:barChart>
      <c:catAx>
        <c:axId val="41572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Mode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12114"/>
        <c:crosses val="autoZero"/>
        <c:auto val="1"/>
        <c:lblOffset val="100"/>
        <c:noMultiLvlLbl val="0"/>
      </c:catAx>
      <c:valAx>
        <c:axId val="38612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Trips by Mode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5729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57150</xdr:colOff>
      <xdr:row>1</xdr:row>
      <xdr:rowOff>47625</xdr:rowOff>
    </xdr:from>
    <xdr:to>
      <xdr:col>22</xdr:col>
      <xdr:colOff>304800</xdr:colOff>
      <xdr:row>8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152400"/>
          <a:ext cx="2933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15</xdr:row>
      <xdr:rowOff>66675</xdr:rowOff>
    </xdr:from>
    <xdr:to>
      <xdr:col>22</xdr:col>
      <xdr:colOff>361950</xdr:colOff>
      <xdr:row>46</xdr:row>
      <xdr:rowOff>161925</xdr:rowOff>
    </xdr:to>
    <xdr:graphicFrame>
      <xdr:nvGraphicFramePr>
        <xdr:cNvPr id="2" name="Chart 12"/>
        <xdr:cNvGraphicFramePr/>
      </xdr:nvGraphicFramePr>
      <xdr:xfrm>
        <a:off x="8029575" y="2466975"/>
        <a:ext cx="6019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590550</xdr:colOff>
      <xdr:row>43</xdr:row>
      <xdr:rowOff>161925</xdr:rowOff>
    </xdr:from>
    <xdr:to>
      <xdr:col>22</xdr:col>
      <xdr:colOff>323850</xdr:colOff>
      <xdr:row>46</xdr:row>
      <xdr:rowOff>133350</xdr:rowOff>
    </xdr:to>
    <xdr:sp>
      <xdr:nvSpPr>
        <xdr:cNvPr id="3" name="TextBox 22"/>
        <xdr:cNvSpPr txBox="1">
          <a:spLocks noChangeArrowheads="1"/>
        </xdr:cNvSpPr>
      </xdr:nvSpPr>
      <xdr:spPr>
        <a:xfrm>
          <a:off x="13058775" y="7010400"/>
          <a:ext cx="9525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/>
            <a:t>Confidence Intervals  -  95%</a:t>
          </a:r>
        </a:p>
      </xdr:txBody>
    </xdr:sp>
    <xdr:clientData/>
  </xdr:twoCellAnchor>
  <xdr:twoCellAnchor editAs="oneCell">
    <xdr:from>
      <xdr:col>11</xdr:col>
      <xdr:colOff>152400</xdr:colOff>
      <xdr:row>4</xdr:row>
      <xdr:rowOff>190500</xdr:rowOff>
    </xdr:from>
    <xdr:to>
      <xdr:col>17</xdr:col>
      <xdr:colOff>552450</xdr:colOff>
      <xdr:row>10</xdr:row>
      <xdr:rowOff>66675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685800"/>
          <a:ext cx="3895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ley.com/" TargetMode="External" /><Relationship Id="rId2" Type="http://schemas.openxmlformats.org/officeDocument/2006/relationships/hyperlink" Target="mailto:steve@abley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0"/>
  <sheetViews>
    <sheetView tabSelected="1" workbookViewId="0" topLeftCell="A1">
      <selection activeCell="F5" sqref="F5:H5"/>
    </sheetView>
  </sheetViews>
  <sheetFormatPr defaultColWidth="9.140625" defaultRowHeight="12.75"/>
  <cols>
    <col min="1" max="1" width="3.421875" style="6" customWidth="1"/>
    <col min="2" max="2" width="2.57421875" style="6" customWidth="1"/>
    <col min="3" max="3" width="8.421875" style="6" customWidth="1"/>
    <col min="4" max="4" width="6.00390625" style="6" customWidth="1"/>
    <col min="5" max="5" width="25.57421875" style="6" customWidth="1"/>
    <col min="6" max="12" width="9.57421875" style="6" customWidth="1"/>
    <col min="13" max="13" width="6.28125" style="6" customWidth="1"/>
    <col min="14" max="19" width="9.140625" style="6" customWidth="1"/>
    <col min="20" max="20" width="12.8515625" style="6" customWidth="1"/>
    <col min="21" max="16384" width="9.140625" style="6" customWidth="1"/>
  </cols>
  <sheetData>
    <row r="1" spans="14:24" ht="8.25" customHeight="1"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2:24" ht="11.25" customHeight="1" thickBot="1">
      <c r="B2" s="3" t="s">
        <v>35</v>
      </c>
      <c r="N2" s="7"/>
      <c r="O2" s="7"/>
      <c r="P2" s="7"/>
      <c r="Q2" s="7"/>
      <c r="R2" s="7"/>
      <c r="S2" s="7"/>
      <c r="T2" s="7"/>
      <c r="U2" s="66"/>
      <c r="V2" s="66"/>
      <c r="W2" s="66"/>
      <c r="X2" s="66"/>
    </row>
    <row r="3" spans="2:24" ht="3.75" customHeight="1">
      <c r="B3" s="8"/>
      <c r="C3" s="9"/>
      <c r="D3" s="9"/>
      <c r="E3" s="9"/>
      <c r="F3" s="9"/>
      <c r="G3" s="9"/>
      <c r="H3" s="9"/>
      <c r="I3" s="9"/>
      <c r="J3" s="9"/>
      <c r="K3" s="10"/>
      <c r="L3" s="26"/>
      <c r="M3" s="7"/>
      <c r="N3" s="7"/>
      <c r="O3" s="15" t="s">
        <v>1</v>
      </c>
      <c r="P3" s="15" t="s">
        <v>13</v>
      </c>
      <c r="Q3" s="7"/>
      <c r="R3" s="7"/>
      <c r="S3" s="7"/>
      <c r="T3" s="7"/>
      <c r="U3" s="66"/>
      <c r="V3" s="66"/>
      <c r="W3" s="66"/>
      <c r="X3" s="66"/>
    </row>
    <row r="4" spans="2:24" ht="15.75" customHeight="1" thickBot="1">
      <c r="B4" s="11"/>
      <c r="C4" s="12"/>
      <c r="D4" s="12"/>
      <c r="E4" s="12"/>
      <c r="F4" s="13"/>
      <c r="G4" s="12"/>
      <c r="H4" s="12"/>
      <c r="I4" s="12"/>
      <c r="J4" s="14" t="s">
        <v>2</v>
      </c>
      <c r="K4" s="19"/>
      <c r="L4" s="109"/>
      <c r="M4" s="7"/>
      <c r="N4" s="7"/>
      <c r="O4" s="1" t="s">
        <v>41</v>
      </c>
      <c r="P4" s="21" t="s">
        <v>53</v>
      </c>
      <c r="Q4" s="7"/>
      <c r="R4" s="15" t="s">
        <v>0</v>
      </c>
      <c r="S4" s="15" t="s">
        <v>3</v>
      </c>
      <c r="T4" s="15" t="s">
        <v>15</v>
      </c>
      <c r="W4" s="66"/>
      <c r="X4" s="66"/>
    </row>
    <row r="5" spans="2:24" ht="15.75" customHeight="1" thickBot="1">
      <c r="B5" s="11"/>
      <c r="C5" s="12"/>
      <c r="D5" s="13" t="s">
        <v>36</v>
      </c>
      <c r="E5" s="12"/>
      <c r="F5" s="111" t="s">
        <v>4</v>
      </c>
      <c r="G5" s="112"/>
      <c r="H5" s="113"/>
      <c r="I5" s="17"/>
      <c r="J5" s="18" t="str">
        <f>VLOOKUP(F5,R5:S8,2,FALSE)</f>
        <v>5-10</v>
      </c>
      <c r="K5" s="19"/>
      <c r="L5" s="26"/>
      <c r="M5" s="7"/>
      <c r="N5" s="7"/>
      <c r="O5" s="1" t="s">
        <v>51</v>
      </c>
      <c r="P5" s="21" t="s">
        <v>54</v>
      </c>
      <c r="Q5" s="7"/>
      <c r="R5" s="7" t="s">
        <v>4</v>
      </c>
      <c r="S5" s="20" t="s">
        <v>5</v>
      </c>
      <c r="T5" s="21">
        <v>0</v>
      </c>
      <c r="W5" s="66"/>
      <c r="X5" s="66"/>
    </row>
    <row r="6" spans="2:24" ht="15.75" customHeight="1" thickBot="1">
      <c r="B6" s="11"/>
      <c r="C6" s="12"/>
      <c r="D6" s="13"/>
      <c r="E6" s="13"/>
      <c r="F6" s="12"/>
      <c r="G6" s="12"/>
      <c r="H6" s="12"/>
      <c r="I6" s="12"/>
      <c r="J6" s="12"/>
      <c r="K6" s="19"/>
      <c r="L6" s="26"/>
      <c r="M6" s="7"/>
      <c r="N6" s="7"/>
      <c r="O6" s="1" t="s">
        <v>52</v>
      </c>
      <c r="P6" s="21" t="s">
        <v>56</v>
      </c>
      <c r="Q6" s="7"/>
      <c r="R6" s="7" t="s">
        <v>6</v>
      </c>
      <c r="S6" s="20" t="s">
        <v>7</v>
      </c>
      <c r="T6" s="21">
        <v>1</v>
      </c>
      <c r="W6" s="66"/>
      <c r="X6" s="66"/>
    </row>
    <row r="7" spans="2:24" ht="15.75" customHeight="1" thickBot="1">
      <c r="B7" s="11"/>
      <c r="C7" s="12"/>
      <c r="D7" s="13" t="s">
        <v>37</v>
      </c>
      <c r="E7" s="12"/>
      <c r="F7" s="111" t="s">
        <v>52</v>
      </c>
      <c r="G7" s="112"/>
      <c r="H7" s="113"/>
      <c r="I7" s="17"/>
      <c r="J7" s="12"/>
      <c r="K7" s="19"/>
      <c r="L7" s="26"/>
      <c r="M7" s="7"/>
      <c r="N7" s="7"/>
      <c r="O7" s="1" t="s">
        <v>55</v>
      </c>
      <c r="P7" s="21" t="s">
        <v>57</v>
      </c>
      <c r="Q7" s="7"/>
      <c r="R7" s="7" t="s">
        <v>8</v>
      </c>
      <c r="S7" s="20" t="s">
        <v>9</v>
      </c>
      <c r="T7" s="21">
        <v>2</v>
      </c>
      <c r="W7" s="66"/>
      <c r="X7" s="66"/>
    </row>
    <row r="8" spans="2:24" ht="15.75" customHeight="1" thickBot="1">
      <c r="B8" s="11"/>
      <c r="C8" s="12"/>
      <c r="D8" s="13"/>
      <c r="E8" s="13"/>
      <c r="F8" s="12"/>
      <c r="G8" s="12"/>
      <c r="H8" s="12"/>
      <c r="I8" s="12"/>
      <c r="J8" s="12"/>
      <c r="K8" s="19"/>
      <c r="L8" s="26"/>
      <c r="M8" s="7"/>
      <c r="N8" s="7"/>
      <c r="O8" s="1" t="s">
        <v>10</v>
      </c>
      <c r="P8" s="21" t="s">
        <v>58</v>
      </c>
      <c r="Q8" s="7"/>
      <c r="R8" s="7" t="s">
        <v>22</v>
      </c>
      <c r="S8" s="22" t="s">
        <v>21</v>
      </c>
      <c r="T8" s="21">
        <v>3</v>
      </c>
      <c r="W8" s="66"/>
      <c r="X8" s="66"/>
    </row>
    <row r="9" spans="2:24" ht="15.75" customHeight="1" thickBot="1">
      <c r="B9" s="11"/>
      <c r="C9" s="12"/>
      <c r="D9" s="13" t="s">
        <v>12</v>
      </c>
      <c r="E9" s="12"/>
      <c r="F9" s="65">
        <v>400</v>
      </c>
      <c r="G9" s="12" t="s">
        <v>81</v>
      </c>
      <c r="H9" s="12"/>
      <c r="I9" s="12"/>
      <c r="J9" s="12"/>
      <c r="K9" s="19"/>
      <c r="L9" s="26"/>
      <c r="M9" s="7"/>
      <c r="N9" s="7"/>
      <c r="O9" s="1" t="s">
        <v>11</v>
      </c>
      <c r="P9" s="21" t="s">
        <v>59</v>
      </c>
      <c r="Q9" s="22"/>
      <c r="R9" s="21"/>
      <c r="S9" s="7"/>
      <c r="T9" s="7"/>
      <c r="W9" s="66"/>
      <c r="X9" s="66"/>
    </row>
    <row r="10" spans="2:24" ht="15.75" customHeight="1">
      <c r="B10" s="11"/>
      <c r="C10" s="12"/>
      <c r="D10" s="13"/>
      <c r="E10" s="13"/>
      <c r="F10" s="12"/>
      <c r="G10" s="12"/>
      <c r="H10" s="12"/>
      <c r="I10" s="12"/>
      <c r="J10" s="12"/>
      <c r="K10" s="19"/>
      <c r="L10" s="26"/>
      <c r="M10" s="7"/>
      <c r="N10" s="7"/>
      <c r="O10" s="21"/>
      <c r="P10" s="21"/>
      <c r="Q10" s="7"/>
      <c r="S10" s="2" t="s">
        <v>60</v>
      </c>
      <c r="V10" s="22"/>
      <c r="X10" s="66"/>
    </row>
    <row r="11" spans="2:24" ht="15.75" customHeight="1">
      <c r="B11" s="110" t="str">
        <f ca="1">IF(OR(OFFSET(INDIRECT("Data!"&amp;O13&amp;6),0,P13)&lt;120,OFFSET(INDIRECT("Data!"&amp;O13&amp;16),0,P13)&lt;120,OFFSET(INDIRECT("Data!"&amp;O13&amp;26),0,P13)&lt;120,OFFSET(INDIRECT("Data!"&amp;O13&amp;30),0,P13)&lt;120),"WARNING! Sample size insufficient; results indicative only. Use School Type 'All Ages' for this Area."," ")</f>
        <v> </v>
      </c>
      <c r="C11" s="12"/>
      <c r="D11" s="13"/>
      <c r="E11" s="12"/>
      <c r="F11" s="12"/>
      <c r="G11" s="12"/>
      <c r="H11" s="12"/>
      <c r="I11" s="12"/>
      <c r="J11" s="12"/>
      <c r="K11" s="19"/>
      <c r="L11" s="26"/>
      <c r="M11" s="7"/>
      <c r="N11" s="7"/>
      <c r="O11" s="7"/>
      <c r="P11" s="7"/>
      <c r="Q11" s="7"/>
      <c r="S11" s="3" t="s">
        <v>61</v>
      </c>
      <c r="T11" s="4" t="s">
        <v>91</v>
      </c>
      <c r="V11" s="7"/>
      <c r="X11" s="66"/>
    </row>
    <row r="12" spans="2:24" ht="2.25" customHeight="1" thickBot="1">
      <c r="B12" s="23"/>
      <c r="C12" s="24"/>
      <c r="D12" s="24"/>
      <c r="E12" s="24"/>
      <c r="F12" s="24"/>
      <c r="G12" s="24"/>
      <c r="H12" s="24"/>
      <c r="I12" s="24"/>
      <c r="J12" s="24"/>
      <c r="K12" s="25"/>
      <c r="L12" s="26"/>
      <c r="M12" s="7"/>
      <c r="N12" s="7"/>
      <c r="O12" s="15" t="s">
        <v>13</v>
      </c>
      <c r="P12" s="15" t="s">
        <v>14</v>
      </c>
      <c r="Q12" s="7"/>
      <c r="X12" s="66"/>
    </row>
    <row r="13" spans="2:24" ht="14.2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7"/>
      <c r="N13" s="7"/>
      <c r="O13" s="21" t="str">
        <f>VLOOKUP(F7,O4:P9,2,FALSE)</f>
        <v>M</v>
      </c>
      <c r="P13" s="21">
        <f>VLOOKUP(F5,R5:T8,3,FALSE)</f>
        <v>0</v>
      </c>
      <c r="Q13" s="7"/>
      <c r="S13" s="3" t="s">
        <v>62</v>
      </c>
      <c r="T13" s="2" t="s">
        <v>63</v>
      </c>
      <c r="X13" s="66"/>
    </row>
    <row r="14" spans="2:24" ht="13.5" customHeight="1" thickBot="1">
      <c r="B14" s="3" t="s">
        <v>31</v>
      </c>
      <c r="M14" s="7"/>
      <c r="N14" s="7"/>
      <c r="S14" s="3"/>
      <c r="T14" s="66"/>
      <c r="W14" s="66"/>
      <c r="X14" s="66"/>
    </row>
    <row r="15" spans="2:24" ht="9.75" customHeight="1" thickBot="1">
      <c r="B15" s="27"/>
      <c r="C15" s="9"/>
      <c r="D15" s="9"/>
      <c r="E15" s="9"/>
      <c r="F15" s="9"/>
      <c r="G15" s="9"/>
      <c r="H15" s="9"/>
      <c r="I15" s="9"/>
      <c r="J15" s="9"/>
      <c r="K15" s="9"/>
      <c r="L15" s="9"/>
      <c r="M15" s="28"/>
      <c r="N15" s="28"/>
      <c r="O15" s="9"/>
      <c r="P15" s="9"/>
      <c r="Q15" s="9"/>
      <c r="R15" s="9"/>
      <c r="S15" s="9"/>
      <c r="T15" s="67"/>
      <c r="U15" s="67"/>
      <c r="V15" s="67"/>
      <c r="W15" s="68"/>
      <c r="X15" s="66"/>
    </row>
    <row r="16" spans="2:23" ht="17.25" customHeight="1" thickBot="1">
      <c r="B16" s="11"/>
      <c r="C16" s="5" t="s">
        <v>80</v>
      </c>
      <c r="D16" s="12"/>
      <c r="E16" s="12"/>
      <c r="F16" s="29">
        <f ca="1">2*F9*OFFSET(INDIRECT("Data!"&amp;O13&amp;4),0,Input_Output!P13)</f>
        <v>1059.8666333049782</v>
      </c>
      <c r="G16" s="12" t="s">
        <v>82</v>
      </c>
      <c r="H16" s="12"/>
      <c r="I16" s="12"/>
      <c r="J16" s="12"/>
      <c r="K16" s="12"/>
      <c r="L16" s="12"/>
      <c r="M16" s="30"/>
      <c r="N16" s="30"/>
      <c r="O16" s="12"/>
      <c r="P16" s="16"/>
      <c r="Q16" s="16"/>
      <c r="R16" s="16"/>
      <c r="S16" s="16"/>
      <c r="T16" s="16"/>
      <c r="U16" s="30"/>
      <c r="V16" s="30"/>
      <c r="W16" s="31"/>
    </row>
    <row r="17" spans="2:23" ht="15">
      <c r="B17" s="11"/>
      <c r="C17" s="12"/>
      <c r="D17" s="12"/>
      <c r="E17" s="12"/>
      <c r="F17" s="12"/>
      <c r="G17" s="12"/>
      <c r="H17" s="12"/>
      <c r="I17" s="12"/>
      <c r="J17" s="104"/>
      <c r="K17" s="12"/>
      <c r="L17" s="12"/>
      <c r="M17" s="30"/>
      <c r="N17" s="30"/>
      <c r="O17" s="30"/>
      <c r="P17" s="16"/>
      <c r="Q17" s="30"/>
      <c r="R17" s="30"/>
      <c r="S17" s="30"/>
      <c r="T17" s="30"/>
      <c r="U17" s="30"/>
      <c r="V17" s="30"/>
      <c r="W17" s="31"/>
    </row>
    <row r="18" spans="2:23" ht="15.75">
      <c r="B18" s="11"/>
      <c r="C18" s="5" t="s">
        <v>68</v>
      </c>
      <c r="D18" s="12"/>
      <c r="E18" s="12"/>
      <c r="F18" s="12"/>
      <c r="G18" s="12"/>
      <c r="H18" s="12"/>
      <c r="I18" s="12"/>
      <c r="J18" s="12"/>
      <c r="K18" s="12"/>
      <c r="L18" s="12"/>
      <c r="M18" s="30"/>
      <c r="N18" s="30"/>
      <c r="O18" s="30"/>
      <c r="P18" s="30">
        <v>2</v>
      </c>
      <c r="Q18" s="30">
        <v>3</v>
      </c>
      <c r="R18" s="30">
        <v>4</v>
      </c>
      <c r="S18" s="30">
        <v>5</v>
      </c>
      <c r="T18" s="30">
        <v>6</v>
      </c>
      <c r="U18" s="30">
        <v>7</v>
      </c>
      <c r="V18" s="30">
        <v>8</v>
      </c>
      <c r="W18" s="31"/>
    </row>
    <row r="19" spans="2:23" ht="3.75" customHeight="1">
      <c r="B19" s="11"/>
      <c r="C19" s="12"/>
      <c r="D19" s="12"/>
      <c r="E19" s="5"/>
      <c r="F19" s="12"/>
      <c r="G19" s="12"/>
      <c r="H19" s="12"/>
      <c r="I19" s="12"/>
      <c r="J19" s="12"/>
      <c r="K19" s="12"/>
      <c r="L19" s="1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1"/>
    </row>
    <row r="20" spans="2:23" ht="13.5" customHeight="1" thickBot="1">
      <c r="B20" s="11"/>
      <c r="C20" s="12"/>
      <c r="D20" s="12"/>
      <c r="E20" s="12"/>
      <c r="F20" s="32" t="s">
        <v>18</v>
      </c>
      <c r="G20" s="32" t="s">
        <v>23</v>
      </c>
      <c r="H20" s="32" t="s">
        <v>32</v>
      </c>
      <c r="I20" s="32" t="s">
        <v>33</v>
      </c>
      <c r="J20" s="32" t="s">
        <v>34</v>
      </c>
      <c r="K20" s="32" t="s">
        <v>45</v>
      </c>
      <c r="L20" s="32" t="s">
        <v>20</v>
      </c>
      <c r="M20" s="12"/>
      <c r="N20" s="33"/>
      <c r="O20" s="12"/>
      <c r="P20" s="105" t="str">
        <f aca="true" t="shared" si="0" ref="P20:V20">F20</f>
        <v>Walk</v>
      </c>
      <c r="Q20" s="105" t="str">
        <f t="shared" si="0"/>
        <v>Cycle</v>
      </c>
      <c r="R20" s="105" t="str">
        <f t="shared" si="0"/>
        <v>P.T.</v>
      </c>
      <c r="S20" s="105" t="str">
        <f t="shared" si="0"/>
        <v>V. Driver</v>
      </c>
      <c r="T20" s="105" t="str">
        <f t="shared" si="0"/>
        <v>V. Pass.</v>
      </c>
      <c r="U20" s="105" t="str">
        <f t="shared" si="0"/>
        <v>Taxi</v>
      </c>
      <c r="V20" s="105" t="str">
        <f t="shared" si="0"/>
        <v>Other</v>
      </c>
      <c r="W20" s="31"/>
    </row>
    <row r="21" spans="2:23" ht="15">
      <c r="B21" s="11"/>
      <c r="C21" s="12"/>
      <c r="D21" s="12"/>
      <c r="E21" s="13" t="s">
        <v>38</v>
      </c>
      <c r="F21" s="34">
        <f ca="1">OFFSET(INDIRECT("Data!"&amp;O13&amp;9),0,P13)</f>
        <v>25.12</v>
      </c>
      <c r="G21" s="35">
        <f ca="1">OFFSET(INDIRECT("Data!"&amp;O13&amp;12),0,P13)</f>
        <v>1.91</v>
      </c>
      <c r="H21" s="35">
        <f ca="1">OFFSET(INDIRECT("Data!"&amp;O13&amp;13),0,P13)</f>
        <v>4.3</v>
      </c>
      <c r="I21" s="35">
        <f ca="1">OFFSET(INDIRECT("Data!"&amp;O13&amp;10),0,P13)</f>
        <v>0</v>
      </c>
      <c r="J21" s="35">
        <f ca="1">OFFSET(INDIRECT("Data!"&amp;O13&amp;11),0,P13)</f>
        <v>67.7</v>
      </c>
      <c r="K21" s="36">
        <f ca="1">OFFSET(INDIRECT("Data!"&amp;O13&amp;14),0,P13)</f>
        <v>0</v>
      </c>
      <c r="L21" s="37">
        <f ca="1">OFFSET(INDIRECT("Data!"&amp;O13&amp;15),0,P13)</f>
        <v>0.98</v>
      </c>
      <c r="M21" s="38"/>
      <c r="N21" s="39"/>
      <c r="O21" s="13" t="s">
        <v>70</v>
      </c>
      <c r="P21" s="43">
        <f aca="true" t="shared" si="1" ref="P21:V21">F23</f>
        <v>133.1192491431053</v>
      </c>
      <c r="Q21" s="43">
        <f t="shared" si="1"/>
        <v>10.121726348062541</v>
      </c>
      <c r="R21" s="43">
        <f t="shared" si="1"/>
        <v>22.78713261605703</v>
      </c>
      <c r="S21" s="43">
        <f t="shared" si="1"/>
        <v>0</v>
      </c>
      <c r="T21" s="43">
        <f t="shared" si="1"/>
        <v>358.76485537373514</v>
      </c>
      <c r="U21" s="43">
        <f t="shared" si="1"/>
        <v>0</v>
      </c>
      <c r="V21" s="43">
        <f t="shared" si="1"/>
        <v>5.193346503194393</v>
      </c>
      <c r="W21" s="31"/>
    </row>
    <row r="22" spans="2:23" ht="15">
      <c r="B22" s="11"/>
      <c r="C22" s="12"/>
      <c r="D22" s="12"/>
      <c r="E22" s="13" t="s">
        <v>24</v>
      </c>
      <c r="F22" s="40">
        <f aca="true" t="shared" si="2" ref="F22:L22">(F21/100)*$F$9</f>
        <v>100.48000000000002</v>
      </c>
      <c r="G22" s="41">
        <f t="shared" si="2"/>
        <v>7.64</v>
      </c>
      <c r="H22" s="41">
        <f t="shared" si="2"/>
        <v>17.2</v>
      </c>
      <c r="I22" s="41">
        <f t="shared" si="2"/>
        <v>0</v>
      </c>
      <c r="J22" s="41">
        <f t="shared" si="2"/>
        <v>270.8</v>
      </c>
      <c r="K22" s="41">
        <f t="shared" si="2"/>
        <v>0</v>
      </c>
      <c r="L22" s="42">
        <f t="shared" si="2"/>
        <v>3.92</v>
      </c>
      <c r="M22" s="38"/>
      <c r="N22" s="30"/>
      <c r="O22" s="16" t="s">
        <v>87</v>
      </c>
      <c r="P22" s="16">
        <f aca="true" ca="1" t="shared" si="3" ref="P22:V22">SQRT(((F21/100)*(1-(F21/100)))/OFFSET(INDIRECT("Data!"&amp;$O$13&amp;16),0,$P$13))</f>
        <v>0.025600696854626997</v>
      </c>
      <c r="Q22" s="16">
        <f ca="1" t="shared" si="3"/>
        <v>0.008079567294447471</v>
      </c>
      <c r="R22" s="16">
        <f ca="1" t="shared" si="3"/>
        <v>0.011974275563111281</v>
      </c>
      <c r="S22" s="16">
        <f ca="1" t="shared" si="3"/>
        <v>0</v>
      </c>
      <c r="T22" s="16">
        <f ca="1" t="shared" si="3"/>
        <v>0.02760289587393282</v>
      </c>
      <c r="U22" s="16">
        <f ca="1" t="shared" si="3"/>
        <v>0</v>
      </c>
      <c r="V22" s="16">
        <f ca="1" t="shared" si="3"/>
        <v>0.005814783514205251</v>
      </c>
      <c r="W22" s="31"/>
    </row>
    <row r="23" spans="2:23" ht="15.75" thickBot="1">
      <c r="B23" s="11"/>
      <c r="C23" s="12"/>
      <c r="D23" s="12"/>
      <c r="E23" s="13" t="s">
        <v>83</v>
      </c>
      <c r="F23" s="44">
        <f>(F21/100)*($F$16/2)</f>
        <v>133.1192491431053</v>
      </c>
      <c r="G23" s="45">
        <f aca="true" t="shared" si="4" ref="G23:L23">(G21/100)*($F$16/2)</f>
        <v>10.121726348062541</v>
      </c>
      <c r="H23" s="45">
        <f t="shared" si="4"/>
        <v>22.78713261605703</v>
      </c>
      <c r="I23" s="45">
        <f t="shared" si="4"/>
        <v>0</v>
      </c>
      <c r="J23" s="45">
        <f t="shared" si="4"/>
        <v>358.76485537373514</v>
      </c>
      <c r="K23" s="45">
        <f t="shared" si="4"/>
        <v>0</v>
      </c>
      <c r="L23" s="46">
        <f t="shared" si="4"/>
        <v>5.193346503194393</v>
      </c>
      <c r="M23" s="38"/>
      <c r="N23" s="30"/>
      <c r="O23" s="12" t="s">
        <v>88</v>
      </c>
      <c r="P23" s="12">
        <f ca="1">OFFSET(INDIRECT("Data!"&amp;O13&amp;5),0,Input_Output!P13)</f>
        <v>0.04268266051978023</v>
      </c>
      <c r="Q23" s="12"/>
      <c r="R23" s="12"/>
      <c r="S23" s="12"/>
      <c r="T23" s="12"/>
      <c r="U23" s="12"/>
      <c r="V23" s="30"/>
      <c r="W23" s="31"/>
    </row>
    <row r="24" spans="2:23" ht="10.5" customHeight="1">
      <c r="B24" s="11"/>
      <c r="C24" s="12"/>
      <c r="D24" s="12"/>
      <c r="E24" s="13"/>
      <c r="F24" s="47"/>
      <c r="G24" s="47"/>
      <c r="H24" s="47"/>
      <c r="I24" s="47"/>
      <c r="J24" s="47"/>
      <c r="K24" s="47"/>
      <c r="L24" s="47"/>
      <c r="M24" s="30"/>
      <c r="N24" s="30"/>
      <c r="O24" s="107" t="s">
        <v>90</v>
      </c>
      <c r="P24" s="105">
        <f>P21*1.96*SQRT(P22^2+$P$23^2)</f>
        <v>12.986075430168583</v>
      </c>
      <c r="Q24" s="105">
        <f aca="true" t="shared" si="5" ref="Q24:V24">Q21*1.96*SQRT(Q22^2+$P$23^2)</f>
        <v>0.8618007046003112</v>
      </c>
      <c r="R24" s="105">
        <f t="shared" si="5"/>
        <v>1.9799231409325577</v>
      </c>
      <c r="S24" s="105">
        <f t="shared" si="5"/>
        <v>0</v>
      </c>
      <c r="T24" s="105">
        <f t="shared" si="5"/>
        <v>35.742874419751374</v>
      </c>
      <c r="U24" s="105">
        <f t="shared" si="5"/>
        <v>0</v>
      </c>
      <c r="V24" s="105">
        <f t="shared" si="5"/>
        <v>0.4384782300554033</v>
      </c>
      <c r="W24" s="31"/>
    </row>
    <row r="25" spans="2:23" ht="15.75">
      <c r="B25" s="11"/>
      <c r="C25" s="5" t="s">
        <v>69</v>
      </c>
      <c r="D25" s="12"/>
      <c r="E25" s="12"/>
      <c r="F25" s="12"/>
      <c r="G25" s="12"/>
      <c r="H25" s="12"/>
      <c r="I25" s="12"/>
      <c r="J25" s="12"/>
      <c r="K25" s="12"/>
      <c r="L25" s="12"/>
      <c r="M25" s="30"/>
      <c r="N25" s="30"/>
      <c r="O25" s="107" t="s">
        <v>89</v>
      </c>
      <c r="P25" s="105">
        <f>P21*1.96*SQRT(P22^2+$P$23^2)</f>
        <v>12.986075430168583</v>
      </c>
      <c r="Q25" s="105">
        <f aca="true" t="shared" si="6" ref="Q25:V25">Q21*1.96*SQRT(Q22^2+$P$23^2)</f>
        <v>0.8618007046003112</v>
      </c>
      <c r="R25" s="105">
        <f t="shared" si="6"/>
        <v>1.9799231409325577</v>
      </c>
      <c r="S25" s="105">
        <f t="shared" si="6"/>
        <v>0</v>
      </c>
      <c r="T25" s="105">
        <f t="shared" si="6"/>
        <v>35.742874419751374</v>
      </c>
      <c r="U25" s="105">
        <f t="shared" si="6"/>
        <v>0</v>
      </c>
      <c r="V25" s="105">
        <f t="shared" si="6"/>
        <v>0.4384782300554033</v>
      </c>
      <c r="W25" s="31"/>
    </row>
    <row r="26" spans="2:23" ht="3.75" customHeight="1">
      <c r="B26" s="11"/>
      <c r="C26" s="12"/>
      <c r="D26" s="12"/>
      <c r="E26" s="5"/>
      <c r="F26" s="12"/>
      <c r="G26" s="12"/>
      <c r="H26" s="12"/>
      <c r="I26" s="12"/>
      <c r="J26" s="12"/>
      <c r="K26" s="12"/>
      <c r="L26" s="12"/>
      <c r="M26" s="30"/>
      <c r="N26" s="30"/>
      <c r="O26" s="105"/>
      <c r="P26" s="105"/>
      <c r="Q26" s="105"/>
      <c r="R26" s="105"/>
      <c r="S26" s="105"/>
      <c r="T26" s="105"/>
      <c r="U26" s="105"/>
      <c r="V26" s="105"/>
      <c r="W26" s="31"/>
    </row>
    <row r="27" spans="2:23" ht="13.5" customHeight="1" thickBot="1">
      <c r="B27" s="11"/>
      <c r="C27" s="12"/>
      <c r="D27" s="12"/>
      <c r="E27" s="12"/>
      <c r="F27" s="32" t="s">
        <v>18</v>
      </c>
      <c r="G27" s="32" t="s">
        <v>23</v>
      </c>
      <c r="H27" s="32" t="s">
        <v>32</v>
      </c>
      <c r="I27" s="32" t="s">
        <v>33</v>
      </c>
      <c r="J27" s="32" t="s">
        <v>34</v>
      </c>
      <c r="K27" s="32" t="s">
        <v>45</v>
      </c>
      <c r="L27" s="32" t="s">
        <v>20</v>
      </c>
      <c r="M27" s="12"/>
      <c r="N27" s="33"/>
      <c r="O27" s="108" t="s">
        <v>79</v>
      </c>
      <c r="P27" s="43">
        <f aca="true" t="shared" si="7" ref="P27:V27">F30</f>
        <v>141.0682488928926</v>
      </c>
      <c r="Q27" s="43">
        <f t="shared" si="7"/>
        <v>13.14234625298173</v>
      </c>
      <c r="R27" s="43">
        <f t="shared" si="7"/>
        <v>37.57227215066148</v>
      </c>
      <c r="S27" s="43">
        <f t="shared" si="7"/>
        <v>0</v>
      </c>
      <c r="T27" s="43">
        <f t="shared" si="7"/>
        <v>334.3349294760554</v>
      </c>
      <c r="U27" s="43">
        <f t="shared" si="7"/>
        <v>0.42394665332199133</v>
      </c>
      <c r="V27" s="43">
        <f t="shared" si="7"/>
        <v>3.3915732265759306</v>
      </c>
      <c r="W27" s="31"/>
    </row>
    <row r="28" spans="2:23" ht="15">
      <c r="B28" s="11"/>
      <c r="C28" s="12"/>
      <c r="D28" s="12"/>
      <c r="E28" s="13" t="s">
        <v>38</v>
      </c>
      <c r="F28" s="34">
        <f ca="1">OFFSET(INDIRECT("Data!"&amp;$O$13&amp;19),0,$P$13)</f>
        <v>26.62</v>
      </c>
      <c r="G28" s="35">
        <f ca="1">OFFSET(INDIRECT("Data!"&amp;$O$13&amp;22),0,$P$13)</f>
        <v>2.48</v>
      </c>
      <c r="H28" s="35">
        <f ca="1">OFFSET(INDIRECT("Data!"&amp;$O$13&amp;23),0,$P$13)</f>
        <v>7.09</v>
      </c>
      <c r="I28" s="35">
        <f ca="1">OFFSET(INDIRECT("Data!"&amp;$O$13&amp;20),0,$P$13)</f>
        <v>0</v>
      </c>
      <c r="J28" s="35">
        <f ca="1">OFFSET(INDIRECT("Data!"&amp;$O$13&amp;21),0,$P$13)</f>
        <v>63.09</v>
      </c>
      <c r="K28" s="36">
        <f ca="1">OFFSET(INDIRECT("Data!"&amp;O13&amp;24),0,P13)</f>
        <v>0.08</v>
      </c>
      <c r="L28" s="37">
        <f ca="1">OFFSET(INDIRECT("Data!"&amp;O13&amp;25),0,P13)</f>
        <v>0.64</v>
      </c>
      <c r="M28" s="12"/>
      <c r="N28" s="39"/>
      <c r="O28" s="16" t="s">
        <v>87</v>
      </c>
      <c r="P28" s="12">
        <f aca="true" ca="1" t="shared" si="8" ref="P28:V28">SQRT(((F28/100)*(1-(F28/100)))/OFFSET(INDIRECT("Data!"&amp;$O$13&amp;26),0,$P$13))</f>
        <v>0.026088669493827932</v>
      </c>
      <c r="Q28" s="12">
        <f ca="1" t="shared" si="8"/>
        <v>0.009179768695893405</v>
      </c>
      <c r="R28" s="12">
        <f ca="1" t="shared" si="8"/>
        <v>0.0151500267360995</v>
      </c>
      <c r="S28" s="12">
        <f ca="1" t="shared" si="8"/>
        <v>0</v>
      </c>
      <c r="T28" s="12">
        <f ca="1" t="shared" si="8"/>
        <v>0.028484679542538565</v>
      </c>
      <c r="U28" s="12">
        <f ca="1" t="shared" si="8"/>
        <v>0.0016688997815435885</v>
      </c>
      <c r="V28" s="12">
        <f ca="1" t="shared" si="8"/>
        <v>0.004707115230999705</v>
      </c>
      <c r="W28" s="31"/>
    </row>
    <row r="29" spans="2:23" ht="15">
      <c r="B29" s="11"/>
      <c r="C29" s="12"/>
      <c r="D29" s="12"/>
      <c r="E29" s="13" t="s">
        <v>24</v>
      </c>
      <c r="F29" s="40">
        <f aca="true" t="shared" si="9" ref="F29:L29">(F28/100)*$F$9</f>
        <v>106.47999999999999</v>
      </c>
      <c r="G29" s="41">
        <f t="shared" si="9"/>
        <v>9.92</v>
      </c>
      <c r="H29" s="41">
        <f t="shared" si="9"/>
        <v>28.360000000000003</v>
      </c>
      <c r="I29" s="41">
        <f t="shared" si="9"/>
        <v>0</v>
      </c>
      <c r="J29" s="41">
        <f t="shared" si="9"/>
        <v>252.36</v>
      </c>
      <c r="K29" s="41">
        <f t="shared" si="9"/>
        <v>0.32</v>
      </c>
      <c r="L29" s="42">
        <f t="shared" si="9"/>
        <v>2.56</v>
      </c>
      <c r="M29" s="30"/>
      <c r="N29" s="30"/>
      <c r="O29" s="105" t="s">
        <v>85</v>
      </c>
      <c r="P29" s="106">
        <f>P27*1.96*SQRT(P28^2+$P$23^2)</f>
        <v>13.831400542274844</v>
      </c>
      <c r="Q29" s="106">
        <f aca="true" t="shared" si="10" ref="Q29:V29">Q27*1.96*SQRT(Q28^2+$P$23^2)</f>
        <v>1.1246030897133628</v>
      </c>
      <c r="R29" s="106">
        <f t="shared" si="10"/>
        <v>3.33535138984351</v>
      </c>
      <c r="S29" s="106">
        <f t="shared" si="10"/>
        <v>0</v>
      </c>
      <c r="T29" s="106">
        <f t="shared" si="10"/>
        <v>33.626264991560326</v>
      </c>
      <c r="U29" s="106">
        <f t="shared" si="10"/>
        <v>0.035493636015992355</v>
      </c>
      <c r="V29" s="106">
        <f t="shared" si="10"/>
        <v>0.28545245093361593</v>
      </c>
      <c r="W29" s="31"/>
    </row>
    <row r="30" spans="2:23" ht="15.75" thickBot="1">
      <c r="B30" s="11"/>
      <c r="C30" s="12"/>
      <c r="D30" s="12"/>
      <c r="E30" s="13" t="s">
        <v>83</v>
      </c>
      <c r="F30" s="44">
        <f aca="true" t="shared" si="11" ref="F30:L30">(F28/100)*($F$16/2)</f>
        <v>141.0682488928926</v>
      </c>
      <c r="G30" s="45">
        <f t="shared" si="11"/>
        <v>13.14234625298173</v>
      </c>
      <c r="H30" s="45">
        <f t="shared" si="11"/>
        <v>37.57227215066148</v>
      </c>
      <c r="I30" s="45">
        <f t="shared" si="11"/>
        <v>0</v>
      </c>
      <c r="J30" s="45">
        <f t="shared" si="11"/>
        <v>334.3349294760554</v>
      </c>
      <c r="K30" s="45">
        <f t="shared" si="11"/>
        <v>0.42394665332199133</v>
      </c>
      <c r="L30" s="46">
        <f t="shared" si="11"/>
        <v>3.3915732265759306</v>
      </c>
      <c r="M30" s="30"/>
      <c r="N30" s="30"/>
      <c r="O30" s="106" t="s">
        <v>86</v>
      </c>
      <c r="P30" s="106">
        <f>P27*1.96*SQRT(P28^2+$P$23^2)</f>
        <v>13.831400542274844</v>
      </c>
      <c r="Q30" s="106">
        <f aca="true" t="shared" si="12" ref="Q30:V30">Q27*1.96*SQRT(Q28^2+$P$23^2)</f>
        <v>1.1246030897133628</v>
      </c>
      <c r="R30" s="106">
        <f t="shared" si="12"/>
        <v>3.33535138984351</v>
      </c>
      <c r="S30" s="106">
        <f t="shared" si="12"/>
        <v>0</v>
      </c>
      <c r="T30" s="106">
        <f t="shared" si="12"/>
        <v>33.626264991560326</v>
      </c>
      <c r="U30" s="106">
        <f t="shared" si="12"/>
        <v>0.035493636015992355</v>
      </c>
      <c r="V30" s="106">
        <f t="shared" si="12"/>
        <v>0.28545245093361593</v>
      </c>
      <c r="W30" s="31"/>
    </row>
    <row r="31" spans="2:23" ht="13.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0"/>
      <c r="N31" s="30"/>
      <c r="O31" s="43"/>
      <c r="P31" s="12"/>
      <c r="Q31" s="12"/>
      <c r="R31" s="12"/>
      <c r="S31" s="12"/>
      <c r="T31" s="12"/>
      <c r="U31" s="12"/>
      <c r="V31" s="30"/>
      <c r="W31" s="31"/>
    </row>
    <row r="32" spans="2:23" ht="15.75">
      <c r="B32" s="11"/>
      <c r="C32" s="5" t="s">
        <v>72</v>
      </c>
      <c r="D32" s="12"/>
      <c r="E32" s="12"/>
      <c r="F32" s="12"/>
      <c r="G32" s="12"/>
      <c r="H32" s="12"/>
      <c r="I32" s="12"/>
      <c r="J32" s="12"/>
      <c r="K32" s="12"/>
      <c r="L32" s="12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</row>
    <row r="33" spans="2:23" ht="15.75">
      <c r="B33" s="11"/>
      <c r="C33" s="12"/>
      <c r="D33" s="12"/>
      <c r="E33" s="12"/>
      <c r="F33" s="48" t="s">
        <v>70</v>
      </c>
      <c r="G33" s="5"/>
      <c r="H33" s="48" t="s">
        <v>71</v>
      </c>
      <c r="I33" s="5"/>
      <c r="J33" s="12"/>
      <c r="K33" s="12"/>
      <c r="L33" s="12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</row>
    <row r="34" spans="2:23" ht="1.5" customHeight="1" thickBot="1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9"/>
    </row>
    <row r="35" spans="2:23" ht="15.75">
      <c r="B35" s="11"/>
      <c r="C35" s="12"/>
      <c r="D35" s="12" t="s">
        <v>39</v>
      </c>
      <c r="E35" s="12"/>
      <c r="F35" s="49">
        <f ca="1">(J23+K23)/OFFSET(INDIRECT("Data!"&amp;O13&amp;29),0,P13)</f>
        <v>280.61688315915234</v>
      </c>
      <c r="G35" s="50"/>
      <c r="H35" s="51">
        <f ca="1">(J30+K30)/OFFSET(INDIRECT("Data!"&amp;O13&amp;29),0,P13)</f>
        <v>261.84000752088116</v>
      </c>
      <c r="I35" s="50" t="s">
        <v>76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9"/>
    </row>
    <row r="36" spans="2:23" ht="4.5" customHeight="1">
      <c r="B36" s="11"/>
      <c r="C36" s="12"/>
      <c r="D36" s="12"/>
      <c r="E36" s="12"/>
      <c r="F36" s="52"/>
      <c r="G36" s="12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9"/>
    </row>
    <row r="37" spans="2:23" ht="15.75">
      <c r="B37" s="11"/>
      <c r="C37" s="12"/>
      <c r="D37" s="12" t="s">
        <v>26</v>
      </c>
      <c r="E37" s="12"/>
      <c r="F37" s="54">
        <f>I23</f>
        <v>0</v>
      </c>
      <c r="G37" s="12"/>
      <c r="H37" s="55">
        <f>I30</f>
        <v>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9"/>
    </row>
    <row r="38" spans="2:23" ht="4.5" customHeight="1">
      <c r="B38" s="11"/>
      <c r="C38" s="12"/>
      <c r="D38" s="12"/>
      <c r="E38" s="12"/>
      <c r="F38" s="56"/>
      <c r="G38" s="12"/>
      <c r="H38" s="56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9"/>
    </row>
    <row r="39" spans="2:23" ht="15.75">
      <c r="B39" s="11"/>
      <c r="C39" s="12"/>
      <c r="D39" s="12" t="s">
        <v>40</v>
      </c>
      <c r="E39" s="12"/>
      <c r="F39" s="54">
        <f>(F9/20)</f>
        <v>20</v>
      </c>
      <c r="G39" s="12"/>
      <c r="H39" s="54">
        <f>(F9/20)</f>
        <v>20</v>
      </c>
      <c r="I39" s="50" t="s">
        <v>77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9"/>
    </row>
    <row r="40" spans="2:23" ht="4.5" customHeight="1">
      <c r="B40" s="11"/>
      <c r="C40" s="12"/>
      <c r="D40" s="12"/>
      <c r="E40" s="12"/>
      <c r="F40" s="52"/>
      <c r="G40" s="12"/>
      <c r="H40" s="52"/>
      <c r="I40" s="5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9"/>
    </row>
    <row r="41" spans="2:23" ht="16.5" thickBot="1">
      <c r="B41" s="11"/>
      <c r="C41" s="12"/>
      <c r="D41" s="12" t="s">
        <v>25</v>
      </c>
      <c r="E41" s="12"/>
      <c r="F41" s="58">
        <f>(F35+F37+F39)*(0.5/100)</f>
        <v>1.5030844157957617</v>
      </c>
      <c r="G41" s="12"/>
      <c r="H41" s="58">
        <f>(F35+F37+F39)*(0.5/100)</f>
        <v>1.5030844157957617</v>
      </c>
      <c r="I41" s="50" t="s">
        <v>78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9"/>
    </row>
    <row r="42" spans="2:23" ht="9.75" customHeight="1" thickBot="1">
      <c r="B42" s="11"/>
      <c r="C42" s="12"/>
      <c r="D42" s="59"/>
      <c r="E42" s="12"/>
      <c r="F42" s="60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9"/>
    </row>
    <row r="43" spans="2:23" ht="16.5" thickBot="1">
      <c r="B43" s="11"/>
      <c r="C43" s="12"/>
      <c r="D43" s="12"/>
      <c r="E43" s="13" t="s">
        <v>73</v>
      </c>
      <c r="F43" s="12"/>
      <c r="G43" s="61">
        <f>SUM(F35:F41,H35:H41)</f>
        <v>585.463059511625</v>
      </c>
      <c r="H43" s="12" t="s">
        <v>74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9"/>
    </row>
    <row r="44" spans="2:23" ht="15.7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9"/>
    </row>
    <row r="45" spans="2:23" ht="12.75" customHeight="1">
      <c r="B45" s="11"/>
      <c r="C45" s="5" t="s">
        <v>75</v>
      </c>
      <c r="D45" s="62"/>
      <c r="E45" s="62"/>
      <c r="F45" s="63"/>
      <c r="G45" s="62"/>
      <c r="H45" s="6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9"/>
    </row>
    <row r="46" spans="2:23" ht="4.5" customHeight="1" thickBot="1">
      <c r="B46" s="11"/>
      <c r="C46" s="62"/>
      <c r="D46" s="62"/>
      <c r="E46" s="62"/>
      <c r="F46" s="64"/>
      <c r="G46" s="62"/>
      <c r="H46" s="6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9"/>
    </row>
    <row r="47" spans="2:23" ht="16.5" thickBot="1">
      <c r="B47" s="11"/>
      <c r="C47" s="62"/>
      <c r="D47" s="12"/>
      <c r="E47" s="12" t="s">
        <v>30</v>
      </c>
      <c r="F47" s="12"/>
      <c r="G47" s="61">
        <f ca="1">G43*(OFFSET(INDIRECT("Data!"&amp;O13&amp;33),0,P13)/100)</f>
        <v>218.1435359740315</v>
      </c>
      <c r="H47" s="12" t="s">
        <v>74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9"/>
    </row>
    <row r="48" spans="2:23" ht="7.5" customHeight="1" thickBot="1">
      <c r="B48" s="11"/>
      <c r="C48" s="62"/>
      <c r="D48" s="12"/>
      <c r="E48" s="12"/>
      <c r="F48" s="12"/>
      <c r="G48" s="60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9"/>
    </row>
    <row r="49" spans="2:23" ht="16.5" thickBot="1">
      <c r="B49" s="11"/>
      <c r="C49" s="62"/>
      <c r="D49" s="12"/>
      <c r="E49" s="12" t="s">
        <v>29</v>
      </c>
      <c r="F49" s="12"/>
      <c r="G49" s="61">
        <f ca="1">G43*(OFFSET(INDIRECT("Data!"&amp;O13&amp;34),0,P13)/100)</f>
        <v>197.94506042088042</v>
      </c>
      <c r="H49" s="12" t="s">
        <v>74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9"/>
    </row>
    <row r="50" spans="2:23" ht="15.75" thickBo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</row>
  </sheetData>
  <sheetProtection password="9F21" sheet="1" objects="1" scenarios="1" selectLockedCells="1"/>
  <mergeCells count="2">
    <mergeCell ref="F5:H5"/>
    <mergeCell ref="F7:H7"/>
  </mergeCells>
  <dataValidations count="3">
    <dataValidation type="whole" operator="greaterThan" allowBlank="1" showInputMessage="1" showErrorMessage="1" sqref="F9">
      <formula1>0</formula1>
    </dataValidation>
    <dataValidation type="list" allowBlank="1" showInputMessage="1" showErrorMessage="1" sqref="F5">
      <formula1>$R$5:$R$8</formula1>
    </dataValidation>
    <dataValidation type="list" allowBlank="1" showInputMessage="1" showErrorMessage="1" sqref="F7:H7">
      <formula1>$O$4:$O$9</formula1>
    </dataValidation>
  </dataValidations>
  <hyperlinks>
    <hyperlink ref="S10" r:id="rId1" display="www.abley.com"/>
    <hyperlink ref="T13" r:id="rId2" display="steve@abley.com"/>
  </hyperlinks>
  <printOptions/>
  <pageMargins left="0.75" right="0.75" top="1" bottom="1" header="0.5" footer="0.5"/>
  <pageSetup horizontalDpi="600" verticalDpi="600" orientation="portrait" paperSize="9" r:id="rId4"/>
  <ignoredErrors>
    <ignoredError sqref="S8" twoDigitTextYea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"/>
  <sheetViews>
    <sheetView workbookViewId="0" topLeftCell="A1">
      <selection activeCell="A1" sqref="A1"/>
    </sheetView>
  </sheetViews>
  <sheetFormatPr defaultColWidth="9.140625" defaultRowHeight="12.75"/>
  <cols>
    <col min="1" max="1" width="6.421875" style="69" customWidth="1"/>
    <col min="2" max="2" width="26.421875" style="70" customWidth="1"/>
    <col min="3" max="6" width="21.140625" style="77" customWidth="1"/>
    <col min="7" max="7" width="6.8515625" style="77" customWidth="1"/>
    <col min="8" max="11" width="21.140625" style="77" customWidth="1"/>
    <col min="12" max="12" width="7.140625" style="77" customWidth="1"/>
    <col min="13" max="16" width="21.140625" style="77" customWidth="1"/>
    <col min="17" max="17" width="7.8515625" style="77" customWidth="1"/>
    <col min="18" max="21" width="21.140625" style="77" customWidth="1"/>
    <col min="22" max="22" width="5.7109375" style="77" customWidth="1"/>
    <col min="23" max="26" width="21.140625" style="77" customWidth="1"/>
    <col min="27" max="27" width="5.00390625" style="77" customWidth="1"/>
    <col min="28" max="31" width="21.140625" style="77" customWidth="1"/>
    <col min="32" max="16384" width="9.140625" style="77" customWidth="1"/>
  </cols>
  <sheetData>
    <row r="1" spans="1:31" s="71" customFormat="1" ht="16.5" customHeight="1">
      <c r="A1" s="69"/>
      <c r="B1" s="70"/>
      <c r="C1" s="114" t="s">
        <v>41</v>
      </c>
      <c r="D1" s="114"/>
      <c r="E1" s="114"/>
      <c r="F1" s="114"/>
      <c r="G1" s="69"/>
      <c r="H1" s="114" t="s">
        <v>51</v>
      </c>
      <c r="I1" s="114"/>
      <c r="J1" s="114"/>
      <c r="K1" s="114"/>
      <c r="L1" s="69"/>
      <c r="M1" s="114" t="s">
        <v>52</v>
      </c>
      <c r="N1" s="114"/>
      <c r="O1" s="114"/>
      <c r="P1" s="114"/>
      <c r="Q1" s="69"/>
      <c r="R1" s="114" t="s">
        <v>55</v>
      </c>
      <c r="S1" s="114"/>
      <c r="T1" s="114"/>
      <c r="U1" s="114"/>
      <c r="V1" s="69"/>
      <c r="W1" s="114" t="s">
        <v>10</v>
      </c>
      <c r="X1" s="114"/>
      <c r="Y1" s="114"/>
      <c r="Z1" s="114"/>
      <c r="AA1" s="69"/>
      <c r="AB1" s="114" t="s">
        <v>11</v>
      </c>
      <c r="AC1" s="114"/>
      <c r="AD1" s="114"/>
      <c r="AE1" s="114"/>
    </row>
    <row r="2" spans="1:31" s="71" customFormat="1" ht="13.5" thickBot="1">
      <c r="A2" s="69"/>
      <c r="C2" s="72" t="s">
        <v>42</v>
      </c>
      <c r="D2" s="73" t="s">
        <v>43</v>
      </c>
      <c r="E2" s="73" t="s">
        <v>8</v>
      </c>
      <c r="F2" s="73" t="s">
        <v>48</v>
      </c>
      <c r="H2" s="72" t="s">
        <v>42</v>
      </c>
      <c r="I2" s="73" t="s">
        <v>43</v>
      </c>
      <c r="J2" s="73" t="s">
        <v>8</v>
      </c>
      <c r="K2" s="73" t="s">
        <v>48</v>
      </c>
      <c r="M2" s="72" t="s">
        <v>42</v>
      </c>
      <c r="N2" s="73" t="s">
        <v>43</v>
      </c>
      <c r="O2" s="73" t="s">
        <v>8</v>
      </c>
      <c r="P2" s="73" t="s">
        <v>48</v>
      </c>
      <c r="R2" s="72" t="s">
        <v>42</v>
      </c>
      <c r="S2" s="73" t="s">
        <v>43</v>
      </c>
      <c r="T2" s="73" t="s">
        <v>8</v>
      </c>
      <c r="U2" s="73" t="s">
        <v>48</v>
      </c>
      <c r="W2" s="72" t="s">
        <v>42</v>
      </c>
      <c r="X2" s="73" t="s">
        <v>43</v>
      </c>
      <c r="Y2" s="73" t="s">
        <v>8</v>
      </c>
      <c r="Z2" s="73" t="s">
        <v>48</v>
      </c>
      <c r="AB2" s="72" t="s">
        <v>42</v>
      </c>
      <c r="AC2" s="73" t="s">
        <v>43</v>
      </c>
      <c r="AD2" s="73" t="s">
        <v>8</v>
      </c>
      <c r="AE2" s="73" t="s">
        <v>48</v>
      </c>
    </row>
    <row r="3" spans="1:31" ht="21" customHeight="1">
      <c r="A3" s="74" t="s">
        <v>65</v>
      </c>
      <c r="C3" s="75"/>
      <c r="D3" s="76"/>
      <c r="E3" s="76"/>
      <c r="F3" s="76"/>
      <c r="G3" s="76"/>
      <c r="H3" s="76"/>
      <c r="I3" s="76"/>
      <c r="J3" s="76"/>
      <c r="K3" s="76"/>
      <c r="M3" s="76"/>
      <c r="N3" s="76"/>
      <c r="O3" s="76"/>
      <c r="P3" s="76"/>
      <c r="R3" s="76"/>
      <c r="S3" s="76"/>
      <c r="T3" s="76"/>
      <c r="U3" s="76"/>
      <c r="W3" s="76"/>
      <c r="X3" s="76"/>
      <c r="Y3" s="76"/>
      <c r="Z3" s="76"/>
      <c r="AB3" s="76"/>
      <c r="AC3" s="76"/>
      <c r="AD3" s="76"/>
      <c r="AE3" s="76"/>
    </row>
    <row r="4" spans="2:31" ht="13.5" thickBot="1">
      <c r="B4" s="70" t="s">
        <v>49</v>
      </c>
      <c r="C4" s="78">
        <v>1.3453938203062457</v>
      </c>
      <c r="D4" s="79">
        <v>1.3307857249484751</v>
      </c>
      <c r="E4" s="79">
        <v>1.3017616490703194</v>
      </c>
      <c r="F4" s="79">
        <f>(C4*C$6+D4*D$6+E4*E$6)/F$6</f>
        <v>1.3297391632406041</v>
      </c>
      <c r="G4" s="76"/>
      <c r="H4" s="79">
        <v>1.060130408368881</v>
      </c>
      <c r="I4" s="79">
        <v>1.1475438078410336</v>
      </c>
      <c r="J4" s="79">
        <v>1.278209285339234</v>
      </c>
      <c r="K4" s="79">
        <f>(H4*H$6+I4*I$6+J4*J$6)/K$6</f>
        <v>1.148454558810692</v>
      </c>
      <c r="M4" s="79">
        <v>1.3248332916312229</v>
      </c>
      <c r="N4" s="79">
        <v>1.0979919378048908</v>
      </c>
      <c r="O4" s="79">
        <v>1.4771804439920322</v>
      </c>
      <c r="P4" s="79">
        <f>(M4*M$6+N4*N$6+O4*O$6)/P$6</f>
        <v>1.3226211214988317</v>
      </c>
      <c r="R4" s="79">
        <v>1.297649148994613</v>
      </c>
      <c r="S4" s="79">
        <v>1.2359664212195995</v>
      </c>
      <c r="T4" s="79">
        <v>1.4484479355472408</v>
      </c>
      <c r="U4" s="79">
        <f>(R4*R$6+S4*S$6+T4*T$6)/U$6</f>
        <v>1.3276049487798336</v>
      </c>
      <c r="W4" s="79">
        <v>1.247029529512735</v>
      </c>
      <c r="X4" s="79">
        <v>1.1787794673364482</v>
      </c>
      <c r="Y4" s="79">
        <v>1.142985328870512</v>
      </c>
      <c r="Z4" s="79">
        <f>(W4*W$6+X4*X$6+Y4*Y$6)/Z$6</f>
        <v>1.2038061406023421</v>
      </c>
      <c r="AB4" s="79">
        <v>1.1502482411660069</v>
      </c>
      <c r="AC4" s="79">
        <v>1.1468941558086485</v>
      </c>
      <c r="AD4" s="79">
        <v>1.3444979871479172</v>
      </c>
      <c r="AE4" s="79">
        <f>(AB4*AB$6+AC4*AC$6+AD4*AD$6)/AE$6</f>
        <v>1.207337545856256</v>
      </c>
    </row>
    <row r="5" spans="1:31" s="92" customFormat="1" ht="12.75">
      <c r="A5" s="89"/>
      <c r="B5" s="80" t="s">
        <v>84</v>
      </c>
      <c r="C5" s="102">
        <v>0.03032004910497766</v>
      </c>
      <c r="D5" s="103">
        <v>0.07769732524897262</v>
      </c>
      <c r="E5" s="103">
        <v>0.04266878183385808</v>
      </c>
      <c r="F5" s="101">
        <f>SQRT(((C6/F6)*C5)^2+((D6/F6)*D5)^2+((E6/F6)*E5)^2)</f>
        <v>0.026911363511777496</v>
      </c>
      <c r="G5" s="91"/>
      <c r="H5" s="103">
        <v>0.03193896023475436</v>
      </c>
      <c r="I5" s="103">
        <v>0.052543893035893054</v>
      </c>
      <c r="J5" s="103">
        <v>0.06745666822333106</v>
      </c>
      <c r="K5" s="101">
        <f>SQRT(((H6/K6)*H5)^2+((I6/K6)*I5)^2+((J6/K6)*J5)^2)</f>
        <v>0.028168758444631643</v>
      </c>
      <c r="M5" s="103">
        <v>0.04268266051978023</v>
      </c>
      <c r="N5" s="103">
        <v>0.041784732330263606</v>
      </c>
      <c r="O5" s="103">
        <v>0.05403858766465892</v>
      </c>
      <c r="P5" s="101">
        <f>SQRT(((M6/P6)*M5)^2+((N6/P6)*N5)^2+((O6/P6)*O5)^2)</f>
        <v>0.02762511596580698</v>
      </c>
      <c r="R5" s="103">
        <v>0.03395412720115655</v>
      </c>
      <c r="S5" s="103">
        <v>0.0448811004427941</v>
      </c>
      <c r="T5" s="103">
        <v>0.04437698186848153</v>
      </c>
      <c r="U5" s="101">
        <f>SQRT(((R6/U6)*R5)^2+((S6/U6)*S5)^2+((T6/U6)*T5)^2)</f>
        <v>0.0231680609658002</v>
      </c>
      <c r="W5" s="103">
        <v>0.04338093971002432</v>
      </c>
      <c r="X5" s="103">
        <v>0.05438450772848501</v>
      </c>
      <c r="Y5" s="103">
        <v>0.0587850690901515</v>
      </c>
      <c r="Z5" s="101">
        <f>SQRT(((W6/Z6)*W5)^2+((X6/Z6)*X5)^2+((Y6/Z6)*Y5)^2)</f>
        <v>0.02942912618903123</v>
      </c>
      <c r="AB5" s="103">
        <v>0.020970844538102426</v>
      </c>
      <c r="AC5" s="103">
        <v>0.029946285926642856</v>
      </c>
      <c r="AD5" s="103">
        <v>0.03607676224113187</v>
      </c>
      <c r="AE5" s="101">
        <f>SQRT(((AB6/AE6)*AB5)^2+((AC6/AE6)*AC5)^2+((AD6/AE6)*AD5)^2)</f>
        <v>0.016179080268113735</v>
      </c>
    </row>
    <row r="6" spans="2:31" ht="12.75">
      <c r="B6" s="80" t="s">
        <v>64</v>
      </c>
      <c r="C6" s="81">
        <v>416</v>
      </c>
      <c r="D6" s="82">
        <v>220</v>
      </c>
      <c r="E6" s="82">
        <v>241</v>
      </c>
      <c r="F6" s="82">
        <f>SUM(C6:E6)</f>
        <v>877</v>
      </c>
      <c r="G6" s="76"/>
      <c r="H6" s="82">
        <v>181</v>
      </c>
      <c r="I6" s="82">
        <v>113</v>
      </c>
      <c r="J6" s="82">
        <v>124</v>
      </c>
      <c r="K6" s="82">
        <f>SUM(H6:J6)</f>
        <v>418</v>
      </c>
      <c r="M6" s="82">
        <v>193</v>
      </c>
      <c r="N6" s="82">
        <v>123</v>
      </c>
      <c r="O6" s="82">
        <v>176</v>
      </c>
      <c r="P6" s="82">
        <f>SUM(M6:O6)</f>
        <v>492</v>
      </c>
      <c r="R6" s="82">
        <v>489</v>
      </c>
      <c r="S6" s="82">
        <v>274</v>
      </c>
      <c r="T6" s="82">
        <v>329</v>
      </c>
      <c r="U6" s="82">
        <f>SUM(R6:T6)</f>
        <v>1092</v>
      </c>
      <c r="W6" s="82">
        <v>202</v>
      </c>
      <c r="X6" s="82">
        <v>118</v>
      </c>
      <c r="Y6" s="82">
        <v>95</v>
      </c>
      <c r="Z6" s="82">
        <f>SUM(W6:Y6)</f>
        <v>415</v>
      </c>
      <c r="AB6" s="82">
        <v>648</v>
      </c>
      <c r="AC6" s="82">
        <v>366</v>
      </c>
      <c r="AD6" s="82">
        <v>431</v>
      </c>
      <c r="AE6" s="82">
        <f>SUM(AB6:AD6)</f>
        <v>1445</v>
      </c>
    </row>
    <row r="7" spans="3:31" ht="3" customHeight="1">
      <c r="C7" s="75"/>
      <c r="D7" s="76"/>
      <c r="E7" s="76"/>
      <c r="F7" s="76"/>
      <c r="G7" s="76"/>
      <c r="H7" s="76"/>
      <c r="I7" s="76"/>
      <c r="J7" s="76"/>
      <c r="K7" s="76"/>
      <c r="M7" s="76"/>
      <c r="N7" s="76"/>
      <c r="O7" s="76"/>
      <c r="P7" s="76"/>
      <c r="R7" s="76"/>
      <c r="S7" s="76"/>
      <c r="T7" s="76"/>
      <c r="U7" s="76"/>
      <c r="W7" s="76"/>
      <c r="X7" s="76"/>
      <c r="Y7" s="76"/>
      <c r="Z7" s="76"/>
      <c r="AB7" s="76"/>
      <c r="AC7" s="76"/>
      <c r="AD7" s="76"/>
      <c r="AE7" s="76"/>
    </row>
    <row r="8" spans="1:31" ht="21" customHeight="1">
      <c r="A8" s="74" t="s">
        <v>66</v>
      </c>
      <c r="C8" s="75"/>
      <c r="D8" s="76"/>
      <c r="E8" s="76"/>
      <c r="F8" s="76"/>
      <c r="G8" s="76"/>
      <c r="H8" s="76"/>
      <c r="I8" s="76"/>
      <c r="J8" s="76"/>
      <c r="K8" s="76"/>
      <c r="M8" s="76"/>
      <c r="N8" s="76"/>
      <c r="O8" s="76"/>
      <c r="P8" s="76"/>
      <c r="R8" s="76"/>
      <c r="S8" s="76"/>
      <c r="T8" s="76"/>
      <c r="U8" s="76"/>
      <c r="W8" s="76"/>
      <c r="X8" s="76"/>
      <c r="Y8" s="76"/>
      <c r="Z8" s="76"/>
      <c r="AB8" s="76"/>
      <c r="AC8" s="76"/>
      <c r="AD8" s="76"/>
      <c r="AE8" s="76"/>
    </row>
    <row r="9" spans="2:31" ht="12.75">
      <c r="B9" s="70" t="s">
        <v>18</v>
      </c>
      <c r="C9" s="83">
        <v>24.08</v>
      </c>
      <c r="D9" s="84">
        <v>36.52</v>
      </c>
      <c r="E9" s="84">
        <v>32.5</v>
      </c>
      <c r="F9" s="84">
        <f>(C9*C$16+D9*D$16+E9*E$16)/F$16</f>
        <v>29.651910780669144</v>
      </c>
      <c r="G9" s="76"/>
      <c r="H9" s="84">
        <v>22.34</v>
      </c>
      <c r="I9" s="84">
        <v>28.05</v>
      </c>
      <c r="J9" s="84">
        <v>36.21</v>
      </c>
      <c r="K9" s="84">
        <f>(H9*H$16+I9*I$16+J9*J$16)/K$16</f>
        <v>28.243290676416823</v>
      </c>
      <c r="M9" s="84">
        <v>25.12</v>
      </c>
      <c r="N9" s="84">
        <v>41.6</v>
      </c>
      <c r="O9" s="84">
        <v>36.63</v>
      </c>
      <c r="P9" s="84">
        <f>(M9*M$16+N9*N$16+O9*O$16)/P$16</f>
        <v>33.73349428208387</v>
      </c>
      <c r="R9" s="84">
        <v>20.42</v>
      </c>
      <c r="S9" s="84">
        <v>23.87</v>
      </c>
      <c r="T9" s="84">
        <v>30.4</v>
      </c>
      <c r="U9" s="84">
        <f>(R9*R$16+S9*S$16+T9*T$16)/U$16</f>
        <v>24.400738334317776</v>
      </c>
      <c r="W9" s="84">
        <v>21.03</v>
      </c>
      <c r="X9" s="84">
        <v>22.02</v>
      </c>
      <c r="Y9" s="84">
        <v>42.11</v>
      </c>
      <c r="Z9" s="84">
        <f>(W9*W$16+X9*X$16+Y9*Y$16)/Z$16</f>
        <v>26.528690702087285</v>
      </c>
      <c r="AB9" s="84">
        <v>10.61</v>
      </c>
      <c r="AC9" s="84">
        <v>17.73</v>
      </c>
      <c r="AD9" s="84">
        <v>15.33</v>
      </c>
      <c r="AE9" s="84">
        <f>(AB9*AB$16+AC9*AC$16+AD9*AD$16)/AE$16</f>
        <v>13.799477088948786</v>
      </c>
    </row>
    <row r="10" spans="2:31" ht="12.75">
      <c r="B10" s="70" t="s">
        <v>17</v>
      </c>
      <c r="C10" s="85">
        <v>0</v>
      </c>
      <c r="D10" s="86">
        <v>0</v>
      </c>
      <c r="E10" s="86">
        <v>10.55</v>
      </c>
      <c r="F10" s="86">
        <f aca="true" t="shared" si="0" ref="F10:F15">(C10*C$16+D10*D$16+E10*E$16)/F$16</f>
        <v>3.412081784386617</v>
      </c>
      <c r="G10" s="76"/>
      <c r="H10" s="86">
        <v>0</v>
      </c>
      <c r="I10" s="86">
        <v>0</v>
      </c>
      <c r="J10" s="86">
        <v>7.57</v>
      </c>
      <c r="K10" s="86">
        <f aca="true" t="shared" si="1" ref="K10:K15">(H10*H$16+I10*I$16+J10*J$16)/K$16</f>
        <v>2.4356855575868375</v>
      </c>
      <c r="M10" s="86">
        <v>0</v>
      </c>
      <c r="N10" s="86">
        <v>0</v>
      </c>
      <c r="O10" s="86">
        <v>14.38</v>
      </c>
      <c r="P10" s="86">
        <f aca="true" t="shared" si="2" ref="P10:P15">(M10*M$16+N10*N$16+O10*O$16)/P$16</f>
        <v>5.371944091486658</v>
      </c>
      <c r="R10" s="86">
        <v>0</v>
      </c>
      <c r="S10" s="86">
        <v>0</v>
      </c>
      <c r="T10" s="86">
        <v>14.72</v>
      </c>
      <c r="U10" s="86">
        <f aca="true" t="shared" si="3" ref="U10:U15">(R10*R$16+S10*S$16+T10*T$16)/U$16</f>
        <v>4.5038157117542825</v>
      </c>
      <c r="W10" s="86">
        <v>0</v>
      </c>
      <c r="X10" s="86">
        <v>0</v>
      </c>
      <c r="Y10" s="86">
        <v>14.58</v>
      </c>
      <c r="Z10" s="86">
        <f aca="true" t="shared" si="4" ref="Z10:Z15">(W10*W$16+X10*X$16+Y10*Y$16)/Z$16</f>
        <v>3.596584440227704</v>
      </c>
      <c r="AB10" s="86">
        <v>0</v>
      </c>
      <c r="AC10" s="86">
        <v>0</v>
      </c>
      <c r="AD10" s="86">
        <v>13.86</v>
      </c>
      <c r="AE10" s="86">
        <f aca="true" t="shared" si="5" ref="AE10:AE15">(AB10*AB$16+AC10*AC$16+AD10*AD$16)/AE$16</f>
        <v>4.0571320754716975</v>
      </c>
    </row>
    <row r="11" spans="2:31" ht="12.75">
      <c r="B11" s="70" t="s">
        <v>16</v>
      </c>
      <c r="C11" s="85">
        <v>65.45</v>
      </c>
      <c r="D11" s="86">
        <v>49.5</v>
      </c>
      <c r="E11" s="86">
        <v>38.97</v>
      </c>
      <c r="F11" s="86">
        <f t="shared" si="0"/>
        <v>53.23334572490707</v>
      </c>
      <c r="G11" s="76"/>
      <c r="H11" s="86">
        <v>64.82</v>
      </c>
      <c r="I11" s="86">
        <v>53.71</v>
      </c>
      <c r="J11" s="86">
        <v>31.18</v>
      </c>
      <c r="K11" s="86">
        <f t="shared" si="1"/>
        <v>51.19327239488116</v>
      </c>
      <c r="M11" s="86">
        <v>67.7</v>
      </c>
      <c r="N11" s="86">
        <v>37.85</v>
      </c>
      <c r="O11" s="86">
        <v>25.87</v>
      </c>
      <c r="P11" s="86">
        <f t="shared" si="2"/>
        <v>44.260203303684875</v>
      </c>
      <c r="R11" s="86">
        <v>71.76</v>
      </c>
      <c r="S11" s="86">
        <v>50.52</v>
      </c>
      <c r="T11" s="86">
        <v>29.04</v>
      </c>
      <c r="U11" s="86">
        <f t="shared" si="3"/>
        <v>52.98081512108683</v>
      </c>
      <c r="W11" s="86">
        <v>57.3</v>
      </c>
      <c r="X11" s="86">
        <v>47.56</v>
      </c>
      <c r="Y11" s="86">
        <v>31.99</v>
      </c>
      <c r="Z11" s="86">
        <f t="shared" si="4"/>
        <v>48.117912713472485</v>
      </c>
      <c r="AB11" s="86">
        <v>55.77</v>
      </c>
      <c r="AC11" s="86">
        <v>40.25</v>
      </c>
      <c r="AD11" s="86">
        <v>29.29</v>
      </c>
      <c r="AE11" s="86">
        <f t="shared" si="5"/>
        <v>44.0780539083558</v>
      </c>
    </row>
    <row r="12" spans="2:31" ht="12.75">
      <c r="B12" s="70" t="s">
        <v>19</v>
      </c>
      <c r="C12" s="85">
        <v>0.05</v>
      </c>
      <c r="D12" s="86">
        <v>0.3</v>
      </c>
      <c r="E12" s="86">
        <v>1.12</v>
      </c>
      <c r="F12" s="86">
        <f t="shared" si="0"/>
        <v>0.4533085501858736</v>
      </c>
      <c r="G12" s="76"/>
      <c r="H12" s="86">
        <v>2.45</v>
      </c>
      <c r="I12" s="86">
        <v>5.53</v>
      </c>
      <c r="J12" s="86">
        <v>1.76</v>
      </c>
      <c r="K12" s="86">
        <f t="shared" si="1"/>
        <v>3.0050274223034736</v>
      </c>
      <c r="M12" s="86">
        <v>1.91</v>
      </c>
      <c r="N12" s="86">
        <v>11.78</v>
      </c>
      <c r="O12" s="86">
        <v>10.58</v>
      </c>
      <c r="P12" s="86">
        <f t="shared" si="2"/>
        <v>7.732363405336722</v>
      </c>
      <c r="R12" s="86">
        <v>2.49</v>
      </c>
      <c r="S12" s="86">
        <v>13.46</v>
      </c>
      <c r="T12" s="86">
        <v>5.18</v>
      </c>
      <c r="U12" s="86">
        <f t="shared" si="3"/>
        <v>6.2612758417011225</v>
      </c>
      <c r="W12" s="86">
        <v>9.87</v>
      </c>
      <c r="X12" s="86">
        <v>9.1</v>
      </c>
      <c r="Y12" s="86">
        <v>2.73</v>
      </c>
      <c r="Z12" s="86">
        <f t="shared" si="4"/>
        <v>7.8763946869070205</v>
      </c>
      <c r="AB12" s="86">
        <v>3.1</v>
      </c>
      <c r="AC12" s="86">
        <v>9.2</v>
      </c>
      <c r="AD12" s="86">
        <v>3.79</v>
      </c>
      <c r="AE12" s="86">
        <f t="shared" si="5"/>
        <v>4.8508194070080854</v>
      </c>
    </row>
    <row r="13" spans="2:31" ht="12.75">
      <c r="B13" s="70" t="s">
        <v>44</v>
      </c>
      <c r="C13" s="85">
        <v>8.73</v>
      </c>
      <c r="D13" s="86">
        <v>13.24</v>
      </c>
      <c r="E13" s="86">
        <v>12.87</v>
      </c>
      <c r="F13" s="86">
        <f t="shared" si="0"/>
        <v>11.101732342007436</v>
      </c>
      <c r="G13" s="76"/>
      <c r="H13" s="86">
        <v>10.4</v>
      </c>
      <c r="I13" s="86">
        <v>9.95</v>
      </c>
      <c r="J13" s="86">
        <v>21.39</v>
      </c>
      <c r="K13" s="86">
        <f t="shared" si="1"/>
        <v>13.82255941499086</v>
      </c>
      <c r="M13" s="86">
        <v>4.3</v>
      </c>
      <c r="N13" s="86">
        <v>7.82</v>
      </c>
      <c r="O13" s="86">
        <v>10.64</v>
      </c>
      <c r="P13" s="86">
        <f t="shared" si="2"/>
        <v>7.589809402795426</v>
      </c>
      <c r="R13" s="86">
        <v>4.84</v>
      </c>
      <c r="S13" s="86">
        <v>11.22</v>
      </c>
      <c r="T13" s="86">
        <v>16.22</v>
      </c>
      <c r="U13" s="86">
        <f t="shared" si="3"/>
        <v>10.036538688718252</v>
      </c>
      <c r="W13" s="86">
        <v>11.81</v>
      </c>
      <c r="X13" s="86">
        <v>21.32</v>
      </c>
      <c r="Y13" s="86">
        <v>7.18</v>
      </c>
      <c r="Z13" s="86">
        <f t="shared" si="4"/>
        <v>13.537115749525615</v>
      </c>
      <c r="AB13" s="86">
        <v>30.53</v>
      </c>
      <c r="AC13" s="86">
        <v>32.82</v>
      </c>
      <c r="AD13" s="86">
        <v>36.53</v>
      </c>
      <c r="AE13" s="86">
        <f t="shared" si="5"/>
        <v>32.86778436657682</v>
      </c>
    </row>
    <row r="14" spans="2:31" ht="12.75">
      <c r="B14" s="70" t="s">
        <v>45</v>
      </c>
      <c r="C14" s="85">
        <v>0.33</v>
      </c>
      <c r="D14" s="86">
        <v>0</v>
      </c>
      <c r="E14" s="86">
        <v>0.74</v>
      </c>
      <c r="F14" s="86">
        <f t="shared" si="0"/>
        <v>0.38703345724907057</v>
      </c>
      <c r="G14" s="76"/>
      <c r="H14" s="86">
        <v>0</v>
      </c>
      <c r="I14" s="86">
        <v>2.76</v>
      </c>
      <c r="J14" s="86">
        <v>0.38</v>
      </c>
      <c r="K14" s="86">
        <f t="shared" si="1"/>
        <v>0.8185740402193784</v>
      </c>
      <c r="M14" s="86">
        <v>0</v>
      </c>
      <c r="N14" s="86">
        <v>0</v>
      </c>
      <c r="O14" s="86">
        <v>1.89</v>
      </c>
      <c r="P14" s="86">
        <f t="shared" si="2"/>
        <v>0.7060482846251588</v>
      </c>
      <c r="R14" s="86">
        <v>0.49</v>
      </c>
      <c r="S14" s="86">
        <v>0</v>
      </c>
      <c r="T14" s="86">
        <v>0.46</v>
      </c>
      <c r="U14" s="86">
        <f t="shared" si="3"/>
        <v>0.3491317188422918</v>
      </c>
      <c r="W14" s="86">
        <v>0</v>
      </c>
      <c r="X14" s="86">
        <v>0</v>
      </c>
      <c r="Y14" s="86">
        <v>0</v>
      </c>
      <c r="Z14" s="86">
        <f t="shared" si="4"/>
        <v>0</v>
      </c>
      <c r="AB14" s="86">
        <v>0</v>
      </c>
      <c r="AC14" s="86">
        <v>0</v>
      </c>
      <c r="AD14" s="86">
        <v>0.3</v>
      </c>
      <c r="AE14" s="86">
        <f t="shared" si="5"/>
        <v>0.0878167115902965</v>
      </c>
    </row>
    <row r="15" spans="2:31" ht="13.5" thickBot="1">
      <c r="B15" s="70" t="s">
        <v>20</v>
      </c>
      <c r="C15" s="87">
        <v>1.36</v>
      </c>
      <c r="D15" s="88">
        <v>0.44</v>
      </c>
      <c r="E15" s="88">
        <v>3.24</v>
      </c>
      <c r="F15" s="88">
        <f t="shared" si="0"/>
        <v>1.7573531598513012</v>
      </c>
      <c r="G15" s="76"/>
      <c r="H15" s="88">
        <v>0</v>
      </c>
      <c r="I15" s="88">
        <v>0</v>
      </c>
      <c r="J15" s="88">
        <v>1.51</v>
      </c>
      <c r="K15" s="88">
        <f t="shared" si="1"/>
        <v>0.4858500914076782</v>
      </c>
      <c r="M15" s="88">
        <v>0.98</v>
      </c>
      <c r="N15" s="88">
        <v>0.95</v>
      </c>
      <c r="O15" s="88">
        <v>0</v>
      </c>
      <c r="P15" s="88">
        <f t="shared" si="2"/>
        <v>0.6060482846251588</v>
      </c>
      <c r="R15" s="88">
        <v>0</v>
      </c>
      <c r="S15" s="88">
        <v>0.92</v>
      </c>
      <c r="T15" s="88">
        <v>3.98</v>
      </c>
      <c r="U15" s="88">
        <f t="shared" si="3"/>
        <v>1.4649970466627287</v>
      </c>
      <c r="W15" s="88">
        <v>0</v>
      </c>
      <c r="X15" s="88">
        <v>0</v>
      </c>
      <c r="Y15" s="88">
        <v>1.41</v>
      </c>
      <c r="Z15" s="88">
        <f t="shared" si="4"/>
        <v>0.3478178368121442</v>
      </c>
      <c r="AB15" s="88">
        <v>0</v>
      </c>
      <c r="AC15" s="88">
        <v>0</v>
      </c>
      <c r="AD15" s="88">
        <v>0.91</v>
      </c>
      <c r="AE15" s="88">
        <f t="shared" si="5"/>
        <v>0.26637735849056604</v>
      </c>
    </row>
    <row r="16" spans="1:31" s="92" customFormat="1" ht="12.75">
      <c r="A16" s="89"/>
      <c r="B16" s="80" t="s">
        <v>64</v>
      </c>
      <c r="C16" s="90">
        <v>602</v>
      </c>
      <c r="D16" s="91">
        <v>308</v>
      </c>
      <c r="E16" s="91">
        <v>435</v>
      </c>
      <c r="F16" s="91">
        <f>SUM(C16:E16)</f>
        <v>1345</v>
      </c>
      <c r="G16" s="91"/>
      <c r="H16" s="91">
        <v>233</v>
      </c>
      <c r="I16" s="91">
        <v>138</v>
      </c>
      <c r="J16" s="91">
        <v>176</v>
      </c>
      <c r="K16" s="91">
        <f>SUM(H16:J16)</f>
        <v>547</v>
      </c>
      <c r="M16" s="91">
        <v>287</v>
      </c>
      <c r="N16" s="91">
        <v>206</v>
      </c>
      <c r="O16" s="91">
        <v>294</v>
      </c>
      <c r="P16" s="91">
        <f>SUM(M16:O16)</f>
        <v>787</v>
      </c>
      <c r="R16" s="91">
        <v>720</v>
      </c>
      <c r="S16" s="91">
        <v>455</v>
      </c>
      <c r="T16" s="91">
        <v>518</v>
      </c>
      <c r="U16" s="91">
        <f>SUM(R16:T16)</f>
        <v>1693</v>
      </c>
      <c r="W16" s="91">
        <v>238</v>
      </c>
      <c r="X16" s="91">
        <v>159</v>
      </c>
      <c r="Y16" s="91">
        <v>130</v>
      </c>
      <c r="Z16" s="91">
        <f>SUM(W16:Y16)</f>
        <v>527</v>
      </c>
      <c r="AB16" s="91">
        <v>841</v>
      </c>
      <c r="AC16" s="91">
        <v>471</v>
      </c>
      <c r="AD16" s="91">
        <v>543</v>
      </c>
      <c r="AE16" s="91">
        <f>SUM(AB16:AD16)</f>
        <v>1855</v>
      </c>
    </row>
    <row r="17" spans="3:31" ht="3" customHeight="1">
      <c r="C17" s="75"/>
      <c r="D17" s="76"/>
      <c r="E17" s="76"/>
      <c r="F17" s="76"/>
      <c r="G17" s="76"/>
      <c r="H17" s="76"/>
      <c r="I17" s="76"/>
      <c r="J17" s="76"/>
      <c r="K17" s="76"/>
      <c r="M17" s="76"/>
      <c r="N17" s="76"/>
      <c r="O17" s="76"/>
      <c r="P17" s="76"/>
      <c r="R17" s="76"/>
      <c r="S17" s="76"/>
      <c r="T17" s="76"/>
      <c r="U17" s="76"/>
      <c r="W17" s="76"/>
      <c r="X17" s="76"/>
      <c r="Y17" s="76"/>
      <c r="Z17" s="76"/>
      <c r="AB17" s="76"/>
      <c r="AC17" s="76"/>
      <c r="AD17" s="76"/>
      <c r="AE17" s="76"/>
    </row>
    <row r="18" spans="1:31" ht="21" customHeight="1">
      <c r="A18" s="74" t="s">
        <v>67</v>
      </c>
      <c r="C18" s="75"/>
      <c r="D18" s="76"/>
      <c r="E18" s="76"/>
      <c r="F18" s="86"/>
      <c r="G18" s="76"/>
      <c r="H18" s="76"/>
      <c r="I18" s="76"/>
      <c r="J18" s="76"/>
      <c r="K18" s="86"/>
      <c r="M18" s="76"/>
      <c r="N18" s="76"/>
      <c r="O18" s="76"/>
      <c r="P18" s="86"/>
      <c r="R18" s="76"/>
      <c r="S18" s="76"/>
      <c r="T18" s="76"/>
      <c r="U18" s="86"/>
      <c r="W18" s="76"/>
      <c r="X18" s="76"/>
      <c r="Y18" s="76"/>
      <c r="Z18" s="86"/>
      <c r="AB18" s="76"/>
      <c r="AC18" s="76"/>
      <c r="AD18" s="76"/>
      <c r="AE18" s="86"/>
    </row>
    <row r="19" spans="2:31" ht="12.75">
      <c r="B19" s="70" t="s">
        <v>18</v>
      </c>
      <c r="C19" s="83">
        <v>27.58</v>
      </c>
      <c r="D19" s="84">
        <v>44.87</v>
      </c>
      <c r="E19" s="84">
        <v>42.06</v>
      </c>
      <c r="F19" s="84">
        <f>(C19*C$26+D19*D$26+E19*E$26)/F$26</f>
        <v>36.23323420074349</v>
      </c>
      <c r="G19" s="76"/>
      <c r="H19" s="84">
        <v>24.58</v>
      </c>
      <c r="I19" s="84">
        <v>36.73</v>
      </c>
      <c r="J19" s="84">
        <v>51.66</v>
      </c>
      <c r="K19" s="84">
        <f>(H19*H$26+I19*I$26+J19*J$26)/K$26</f>
        <v>36.35839122486289</v>
      </c>
      <c r="M19" s="84">
        <v>26.62</v>
      </c>
      <c r="N19" s="84">
        <v>44.27</v>
      </c>
      <c r="O19" s="84">
        <v>38.39</v>
      </c>
      <c r="P19" s="84">
        <f>(M19*M$26+N19*N$26+O19*O$26)/P$26</f>
        <v>35.625890585241734</v>
      </c>
      <c r="R19" s="84">
        <v>23.48</v>
      </c>
      <c r="S19" s="84">
        <v>37.66</v>
      </c>
      <c r="T19" s="84">
        <v>34.96</v>
      </c>
      <c r="U19" s="84">
        <f>(R19*R$26+S19*S$26+T19*T$26)/U$26</f>
        <v>30.746738095238094</v>
      </c>
      <c r="W19" s="84">
        <v>27.89</v>
      </c>
      <c r="X19" s="84">
        <v>29.48</v>
      </c>
      <c r="Y19" s="84">
        <v>47.42</v>
      </c>
      <c r="Z19" s="84">
        <f>(W19*W$26+X19*X$26+Y19*Y$26)/Z$26</f>
        <v>33.1873624288425</v>
      </c>
      <c r="AB19" s="84">
        <v>15.07</v>
      </c>
      <c r="AC19" s="84">
        <v>24.53</v>
      </c>
      <c r="AD19" s="84">
        <v>25.22</v>
      </c>
      <c r="AE19" s="84">
        <f>(AB19*AB$26+AC19*AC$26+AD19*AD$26)/AE$26</f>
        <v>20.420563380281692</v>
      </c>
    </row>
    <row r="20" spans="2:31" ht="12.75">
      <c r="B20" s="70" t="s">
        <v>17</v>
      </c>
      <c r="C20" s="85">
        <v>0</v>
      </c>
      <c r="D20" s="86">
        <v>0</v>
      </c>
      <c r="E20" s="86">
        <v>10.48</v>
      </c>
      <c r="F20" s="86">
        <f aca="true" t="shared" si="6" ref="F20:F25">(C20*C$26+D20*D$26+E20*E$26)/F$26</f>
        <v>3.3972342007434944</v>
      </c>
      <c r="G20" s="76"/>
      <c r="H20" s="86">
        <v>0</v>
      </c>
      <c r="I20" s="86">
        <v>0</v>
      </c>
      <c r="J20" s="86">
        <v>7.57</v>
      </c>
      <c r="K20" s="86">
        <f aca="true" t="shared" si="7" ref="K20:K25">(H20*H$26+I20*I$26+J20*J$26)/K$26</f>
        <v>2.4356855575868375</v>
      </c>
      <c r="M20" s="86">
        <v>0</v>
      </c>
      <c r="N20" s="86">
        <v>0</v>
      </c>
      <c r="O20" s="86">
        <v>14.55</v>
      </c>
      <c r="P20" s="86">
        <f aca="true" t="shared" si="8" ref="P20:P25">(M20*M$26+N20*N$26+O20*O$26)/P$26</f>
        <v>5.44236641221374</v>
      </c>
      <c r="R20" s="86">
        <v>0</v>
      </c>
      <c r="S20" s="86">
        <v>0</v>
      </c>
      <c r="T20" s="86">
        <v>15.05</v>
      </c>
      <c r="U20" s="86">
        <f aca="true" t="shared" si="9" ref="U20:U25">(R20*R$26+S20*S$26+T20*T$26)/U$26</f>
        <v>4.613541666666666</v>
      </c>
      <c r="W20" s="86">
        <v>0</v>
      </c>
      <c r="X20" s="86">
        <v>0</v>
      </c>
      <c r="Y20" s="86">
        <v>14.58</v>
      </c>
      <c r="Z20" s="86">
        <f aca="true" t="shared" si="10" ref="Z20:Z25">(W20*W$26+X20*X$26+Y20*Y$26)/Z$26</f>
        <v>3.596584440227704</v>
      </c>
      <c r="AB20" s="86">
        <v>0</v>
      </c>
      <c r="AC20" s="86">
        <v>0</v>
      </c>
      <c r="AD20" s="86">
        <v>12.98</v>
      </c>
      <c r="AE20" s="86">
        <f aca="true" t="shared" si="11" ref="AE20:AE25">(AB20*AB$26+AC20*AC$26+AD20*AD$26)/AE$26</f>
        <v>3.768840736728061</v>
      </c>
    </row>
    <row r="21" spans="2:31" ht="12.75">
      <c r="B21" s="70" t="s">
        <v>16</v>
      </c>
      <c r="C21" s="85">
        <v>60.41</v>
      </c>
      <c r="D21" s="86">
        <v>36.5</v>
      </c>
      <c r="E21" s="86">
        <v>29.39</v>
      </c>
      <c r="F21" s="86">
        <f t="shared" si="6"/>
        <v>44.87914498141264</v>
      </c>
      <c r="G21" s="76"/>
      <c r="H21" s="86">
        <v>62.81</v>
      </c>
      <c r="I21" s="86">
        <v>39.05</v>
      </c>
      <c r="J21" s="86">
        <v>20.87</v>
      </c>
      <c r="K21" s="86">
        <f t="shared" si="7"/>
        <v>43.32129798903108</v>
      </c>
      <c r="M21" s="86">
        <v>63.09</v>
      </c>
      <c r="N21" s="86">
        <v>35.02</v>
      </c>
      <c r="O21" s="86">
        <v>23.94</v>
      </c>
      <c r="P21" s="86">
        <f t="shared" si="8"/>
        <v>41.12505089058524</v>
      </c>
      <c r="R21" s="86">
        <v>68.05</v>
      </c>
      <c r="S21" s="86">
        <v>32.56</v>
      </c>
      <c r="T21" s="86">
        <v>22.42</v>
      </c>
      <c r="U21" s="86">
        <f t="shared" si="9"/>
        <v>44.682732142857134</v>
      </c>
      <c r="W21" s="86">
        <v>50.62</v>
      </c>
      <c r="X21" s="86">
        <v>35.83</v>
      </c>
      <c r="Y21" s="86">
        <v>25.05</v>
      </c>
      <c r="Z21" s="86">
        <f t="shared" si="10"/>
        <v>39.85015180265655</v>
      </c>
      <c r="AB21" s="86">
        <v>49.62</v>
      </c>
      <c r="AC21" s="86">
        <v>29.5</v>
      </c>
      <c r="AD21" s="86">
        <v>24.65</v>
      </c>
      <c r="AE21" s="86">
        <f t="shared" si="11"/>
        <v>37.25802816901408</v>
      </c>
    </row>
    <row r="22" spans="2:31" ht="12.75">
      <c r="B22" s="70" t="s">
        <v>19</v>
      </c>
      <c r="C22" s="85">
        <v>0.24</v>
      </c>
      <c r="D22" s="86">
        <v>0.3</v>
      </c>
      <c r="E22" s="86">
        <v>1.12</v>
      </c>
      <c r="F22" s="86">
        <f t="shared" si="6"/>
        <v>0.539003717472119</v>
      </c>
      <c r="G22" s="76"/>
      <c r="H22" s="86">
        <v>2.11</v>
      </c>
      <c r="I22" s="86">
        <v>4.5</v>
      </c>
      <c r="J22" s="86">
        <v>1.76</v>
      </c>
      <c r="K22" s="86">
        <f t="shared" si="7"/>
        <v>2.6003473491773312</v>
      </c>
      <c r="M22" s="86">
        <v>2.48</v>
      </c>
      <c r="N22" s="86">
        <v>9.06</v>
      </c>
      <c r="O22" s="86">
        <v>10.12</v>
      </c>
      <c r="P22" s="86">
        <f t="shared" si="8"/>
        <v>7.053867684478372</v>
      </c>
      <c r="R22" s="86">
        <v>2.27</v>
      </c>
      <c r="S22" s="86">
        <v>14.57</v>
      </c>
      <c r="T22" s="86">
        <v>5.49</v>
      </c>
      <c r="U22" s="86">
        <f t="shared" si="9"/>
        <v>6.507797619047619</v>
      </c>
      <c r="W22" s="86">
        <v>10.27</v>
      </c>
      <c r="X22" s="86">
        <v>9.1</v>
      </c>
      <c r="Y22" s="86">
        <v>3.16</v>
      </c>
      <c r="Z22" s="86">
        <f t="shared" si="10"/>
        <v>8.163111954459204</v>
      </c>
      <c r="AB22" s="86">
        <v>2.87</v>
      </c>
      <c r="AC22" s="86">
        <v>9.31</v>
      </c>
      <c r="AD22" s="86">
        <v>3.93</v>
      </c>
      <c r="AE22" s="86">
        <f t="shared" si="11"/>
        <v>4.813943661971831</v>
      </c>
    </row>
    <row r="23" spans="2:31" ht="12.75">
      <c r="B23" s="70" t="s">
        <v>44</v>
      </c>
      <c r="C23" s="85">
        <v>8.68</v>
      </c>
      <c r="D23" s="86">
        <v>17.04</v>
      </c>
      <c r="E23" s="86">
        <v>15.5</v>
      </c>
      <c r="F23" s="86">
        <f t="shared" si="6"/>
        <v>12.805204460966543</v>
      </c>
      <c r="G23" s="76"/>
      <c r="H23" s="86">
        <v>10.5</v>
      </c>
      <c r="I23" s="86">
        <v>16.95</v>
      </c>
      <c r="J23" s="86">
        <v>17.77</v>
      </c>
      <c r="K23" s="86">
        <f t="shared" si="7"/>
        <v>14.466398537477149</v>
      </c>
      <c r="M23" s="86">
        <v>7.09</v>
      </c>
      <c r="N23" s="86">
        <v>11.65</v>
      </c>
      <c r="O23" s="86">
        <v>11.11</v>
      </c>
      <c r="P23" s="86">
        <f t="shared" si="8"/>
        <v>9.782977099236641</v>
      </c>
      <c r="R23" s="86">
        <v>5.71</v>
      </c>
      <c r="S23" s="86">
        <v>13.96</v>
      </c>
      <c r="T23" s="86">
        <v>17.18</v>
      </c>
      <c r="U23" s="86">
        <f t="shared" si="9"/>
        <v>11.406458333333335</v>
      </c>
      <c r="W23" s="86">
        <v>11.22</v>
      </c>
      <c r="X23" s="86">
        <v>25.59</v>
      </c>
      <c r="Y23" s="86">
        <v>8.39</v>
      </c>
      <c r="Z23" s="86">
        <f t="shared" si="10"/>
        <v>14.857438330170778</v>
      </c>
      <c r="AB23" s="86">
        <v>32.32</v>
      </c>
      <c r="AC23" s="86">
        <v>36.44</v>
      </c>
      <c r="AD23" s="86">
        <v>31.54</v>
      </c>
      <c r="AE23" s="86">
        <f t="shared" si="11"/>
        <v>33.140260021668475</v>
      </c>
    </row>
    <row r="24" spans="2:31" ht="12.75">
      <c r="B24" s="70" t="s">
        <v>45</v>
      </c>
      <c r="C24" s="85">
        <v>0.33</v>
      </c>
      <c r="D24" s="86">
        <v>0</v>
      </c>
      <c r="E24" s="86">
        <v>0.35</v>
      </c>
      <c r="F24" s="86">
        <f t="shared" si="6"/>
        <v>0.26091449814126394</v>
      </c>
      <c r="G24" s="76"/>
      <c r="H24" s="86">
        <v>0</v>
      </c>
      <c r="I24" s="86">
        <v>2.76</v>
      </c>
      <c r="J24" s="86">
        <v>0.38</v>
      </c>
      <c r="K24" s="86">
        <f t="shared" si="7"/>
        <v>0.8185740402193784</v>
      </c>
      <c r="M24" s="86">
        <v>0.08</v>
      </c>
      <c r="N24" s="86">
        <v>0</v>
      </c>
      <c r="O24" s="86">
        <v>1.89</v>
      </c>
      <c r="P24" s="86">
        <f t="shared" si="8"/>
        <v>0.7361577608142493</v>
      </c>
      <c r="R24" s="86">
        <v>0.49</v>
      </c>
      <c r="S24" s="86">
        <v>0</v>
      </c>
      <c r="T24" s="86">
        <v>0.8</v>
      </c>
      <c r="U24" s="86">
        <f t="shared" si="9"/>
        <v>0.4555297619047619</v>
      </c>
      <c r="W24" s="86">
        <v>0</v>
      </c>
      <c r="X24" s="86">
        <v>0</v>
      </c>
      <c r="Y24" s="86">
        <v>0</v>
      </c>
      <c r="Z24" s="86">
        <f t="shared" si="10"/>
        <v>0</v>
      </c>
      <c r="AB24" s="86">
        <v>0</v>
      </c>
      <c r="AC24" s="86">
        <v>0</v>
      </c>
      <c r="AD24" s="86">
        <v>0.6</v>
      </c>
      <c r="AE24" s="86">
        <f t="shared" si="11"/>
        <v>0.1742145178764897</v>
      </c>
    </row>
    <row r="25" spans="2:31" ht="13.5" thickBot="1">
      <c r="B25" s="70" t="s">
        <v>20</v>
      </c>
      <c r="C25" s="87">
        <v>2.75</v>
      </c>
      <c r="D25" s="88">
        <v>1.28</v>
      </c>
      <c r="E25" s="88">
        <v>1.11</v>
      </c>
      <c r="F25" s="88">
        <f t="shared" si="6"/>
        <v>1.8817472118959107</v>
      </c>
      <c r="G25" s="76"/>
      <c r="H25" s="88">
        <v>0</v>
      </c>
      <c r="I25" s="88">
        <v>0</v>
      </c>
      <c r="J25" s="88">
        <v>0</v>
      </c>
      <c r="K25" s="88">
        <f t="shared" si="7"/>
        <v>0</v>
      </c>
      <c r="M25" s="88">
        <v>0.64</v>
      </c>
      <c r="N25" s="88">
        <v>0</v>
      </c>
      <c r="O25" s="88">
        <v>0</v>
      </c>
      <c r="P25" s="88">
        <f t="shared" si="8"/>
        <v>0.23368956743002545</v>
      </c>
      <c r="R25" s="88">
        <v>0</v>
      </c>
      <c r="S25" s="88">
        <v>1.24</v>
      </c>
      <c r="T25" s="88">
        <v>4.1</v>
      </c>
      <c r="U25" s="88">
        <f t="shared" si="9"/>
        <v>1.5845595238095238</v>
      </c>
      <c r="W25" s="88">
        <v>0</v>
      </c>
      <c r="X25" s="88">
        <v>0</v>
      </c>
      <c r="Y25" s="88">
        <v>1.41</v>
      </c>
      <c r="Z25" s="88">
        <f t="shared" si="10"/>
        <v>0.3478178368121442</v>
      </c>
      <c r="AB25" s="88">
        <v>0.14</v>
      </c>
      <c r="AC25" s="88">
        <v>0.22</v>
      </c>
      <c r="AD25" s="88">
        <v>1.08</v>
      </c>
      <c r="AE25" s="88">
        <f t="shared" si="11"/>
        <v>0.433261105092091</v>
      </c>
    </row>
    <row r="26" spans="1:31" s="92" customFormat="1" ht="12.75">
      <c r="A26" s="89"/>
      <c r="B26" s="80" t="s">
        <v>64</v>
      </c>
      <c r="C26" s="90">
        <v>601</v>
      </c>
      <c r="D26" s="91">
        <v>308</v>
      </c>
      <c r="E26" s="91">
        <v>436</v>
      </c>
      <c r="F26" s="91">
        <f>SUM(C26:E26)</f>
        <v>1345</v>
      </c>
      <c r="G26" s="91"/>
      <c r="H26" s="91">
        <v>233</v>
      </c>
      <c r="I26" s="91">
        <v>138</v>
      </c>
      <c r="J26" s="91">
        <v>176</v>
      </c>
      <c r="K26" s="91">
        <f>SUM(H26:J26)</f>
        <v>547</v>
      </c>
      <c r="M26" s="91">
        <v>287</v>
      </c>
      <c r="N26" s="91">
        <v>205</v>
      </c>
      <c r="O26" s="91">
        <v>294</v>
      </c>
      <c r="P26" s="91">
        <f>SUM(M26:O26)</f>
        <v>786</v>
      </c>
      <c r="R26" s="91">
        <v>721</v>
      </c>
      <c r="S26" s="91">
        <v>444</v>
      </c>
      <c r="T26" s="91">
        <v>515</v>
      </c>
      <c r="U26" s="91">
        <f>SUM(R26:T26)</f>
        <v>1680</v>
      </c>
      <c r="W26" s="91">
        <v>238</v>
      </c>
      <c r="X26" s="91">
        <v>159</v>
      </c>
      <c r="Y26" s="91">
        <v>130</v>
      </c>
      <c r="Z26" s="91">
        <f>SUM(W26:Y26)</f>
        <v>527</v>
      </c>
      <c r="AB26" s="91">
        <v>841</v>
      </c>
      <c r="AC26" s="91">
        <v>469</v>
      </c>
      <c r="AD26" s="91">
        <v>536</v>
      </c>
      <c r="AE26" s="91">
        <f>SUM(AB26:AD26)</f>
        <v>1846</v>
      </c>
    </row>
    <row r="27" spans="3:31" ht="3" customHeight="1">
      <c r="C27" s="75"/>
      <c r="D27" s="76"/>
      <c r="E27" s="76"/>
      <c r="F27" s="76"/>
      <c r="G27" s="76"/>
      <c r="H27" s="76"/>
      <c r="I27" s="76"/>
      <c r="J27" s="76"/>
      <c r="K27" s="76"/>
      <c r="M27" s="76"/>
      <c r="N27" s="76"/>
      <c r="O27" s="76"/>
      <c r="P27" s="76"/>
      <c r="R27" s="76"/>
      <c r="S27" s="76"/>
      <c r="T27" s="76"/>
      <c r="U27" s="76"/>
      <c r="W27" s="76"/>
      <c r="X27" s="76"/>
      <c r="Y27" s="76"/>
      <c r="Z27" s="76"/>
      <c r="AB27" s="76"/>
      <c r="AC27" s="76"/>
      <c r="AD27" s="76"/>
      <c r="AE27" s="76"/>
    </row>
    <row r="28" spans="1:31" ht="15">
      <c r="A28" s="74" t="s">
        <v>46</v>
      </c>
      <c r="C28" s="75"/>
      <c r="D28" s="76"/>
      <c r="E28" s="76"/>
      <c r="F28" s="76"/>
      <c r="G28" s="76"/>
      <c r="H28" s="76"/>
      <c r="I28" s="76"/>
      <c r="J28" s="76"/>
      <c r="K28" s="76"/>
      <c r="M28" s="76"/>
      <c r="N28" s="76"/>
      <c r="O28" s="76"/>
      <c r="P28" s="76"/>
      <c r="R28" s="76"/>
      <c r="S28" s="76"/>
      <c r="T28" s="76"/>
      <c r="U28" s="76"/>
      <c r="W28" s="76"/>
      <c r="X28" s="76"/>
      <c r="Y28" s="76"/>
      <c r="Z28" s="76"/>
      <c r="AB28" s="76"/>
      <c r="AC28" s="76"/>
      <c r="AD28" s="76"/>
      <c r="AE28" s="76"/>
    </row>
    <row r="29" spans="2:31" ht="13.5" thickBot="1">
      <c r="B29" s="70" t="s">
        <v>47</v>
      </c>
      <c r="C29" s="78">
        <v>1.398697413005211</v>
      </c>
      <c r="D29" s="79">
        <v>1.3087062769611122</v>
      </c>
      <c r="E29" s="79">
        <v>1.2602535957962628</v>
      </c>
      <c r="F29" s="79">
        <f>(C29*C30+D29*D30+E29*E30)/SUM(C30:E30)</f>
        <v>1.3375316778910022</v>
      </c>
      <c r="G29" s="76"/>
      <c r="H29" s="79">
        <v>1.4198632537583404</v>
      </c>
      <c r="I29" s="79">
        <v>1.286801865938727</v>
      </c>
      <c r="J29" s="79">
        <v>1.4055715480892481</v>
      </c>
      <c r="K29" s="79">
        <f>(H29*H30+I29*I30+J29*J30)/SUM(H30:J30)</f>
        <v>1.3860841328770455</v>
      </c>
      <c r="M29" s="79">
        <v>1.2784863524061774</v>
      </c>
      <c r="N29" s="79">
        <v>1.2352989477776684</v>
      </c>
      <c r="O29" s="79">
        <v>1.238266864375408</v>
      </c>
      <c r="P29" s="79">
        <f>(M29*M30+N29*N30+O29*O30)/SUM(M30:O30)</f>
        <v>1.2567540700186826</v>
      </c>
      <c r="R29" s="79">
        <v>1.4636943319843125</v>
      </c>
      <c r="S29" s="79">
        <v>1.2240193933681391</v>
      </c>
      <c r="T29" s="79">
        <v>1.2699448757489349</v>
      </c>
      <c r="U29" s="79">
        <f>(R29*R30+S29*S30+T29*T30)/SUM(R30:T30)</f>
        <v>1.3569826609973004</v>
      </c>
      <c r="W29" s="79">
        <v>1.493785104482803</v>
      </c>
      <c r="X29" s="79">
        <v>1.2479366882725518</v>
      </c>
      <c r="Y29" s="79">
        <v>1.1592022704497091</v>
      </c>
      <c r="Z29" s="79">
        <f>(W29*W30+X29*X30+Y29*Y30)/SUM(W30:Y30)</f>
        <v>1.3500609737585565</v>
      </c>
      <c r="AB29" s="79">
        <v>1.6048627752417024</v>
      </c>
      <c r="AC29" s="79">
        <v>1.5013092647076676</v>
      </c>
      <c r="AD29" s="79">
        <v>1.251133013618194</v>
      </c>
      <c r="AE29" s="79">
        <f>(AB29*AB30+AC29*AC30+AD29*AD30)/SUM(AB30:AD30)</f>
        <v>1.4829605423236263</v>
      </c>
    </row>
    <row r="30" spans="2:31" ht="12.75">
      <c r="B30" s="80" t="s">
        <v>64</v>
      </c>
      <c r="C30" s="90">
        <v>233</v>
      </c>
      <c r="D30" s="92">
        <v>103</v>
      </c>
      <c r="E30" s="92">
        <v>146</v>
      </c>
      <c r="F30" s="93">
        <f>SUM(C30:E30)</f>
        <v>482</v>
      </c>
      <c r="G30" s="76"/>
      <c r="H30" s="92">
        <v>101</v>
      </c>
      <c r="I30" s="92">
        <v>43</v>
      </c>
      <c r="J30" s="92">
        <v>44</v>
      </c>
      <c r="K30" s="93">
        <f>SUM(H30:J30)</f>
        <v>188</v>
      </c>
      <c r="M30" s="92">
        <v>120</v>
      </c>
      <c r="N30" s="92">
        <v>44</v>
      </c>
      <c r="O30" s="92">
        <v>90</v>
      </c>
      <c r="P30" s="93">
        <f>SUM(M30:O30)</f>
        <v>254</v>
      </c>
      <c r="R30" s="92">
        <v>308</v>
      </c>
      <c r="S30" s="92">
        <v>149</v>
      </c>
      <c r="T30" s="92">
        <v>150</v>
      </c>
      <c r="U30" s="93">
        <f>SUM(R30:T30)</f>
        <v>607</v>
      </c>
      <c r="W30" s="92">
        <v>85</v>
      </c>
      <c r="X30" s="92">
        <v>43</v>
      </c>
      <c r="Y30" s="92">
        <v>41</v>
      </c>
      <c r="Z30" s="93">
        <f>SUM(W30:Y30)</f>
        <v>169</v>
      </c>
      <c r="AB30" s="92">
        <v>263</v>
      </c>
      <c r="AC30" s="92">
        <v>110</v>
      </c>
      <c r="AD30" s="92">
        <v>147</v>
      </c>
      <c r="AE30" s="93">
        <f>SUM(AB30:AD30)</f>
        <v>520</v>
      </c>
    </row>
    <row r="31" spans="3:31" ht="3" customHeight="1">
      <c r="C31" s="75"/>
      <c r="D31" s="76"/>
      <c r="E31" s="76"/>
      <c r="F31" s="76"/>
      <c r="G31" s="76"/>
      <c r="H31" s="76"/>
      <c r="I31" s="76"/>
      <c r="J31" s="76"/>
      <c r="K31" s="76"/>
      <c r="M31" s="76"/>
      <c r="N31" s="76"/>
      <c r="O31" s="76"/>
      <c r="P31" s="76"/>
      <c r="R31" s="76"/>
      <c r="S31" s="76"/>
      <c r="T31" s="76"/>
      <c r="U31" s="76"/>
      <c r="W31" s="76"/>
      <c r="X31" s="76"/>
      <c r="Y31" s="76"/>
      <c r="Z31" s="76"/>
      <c r="AB31" s="76"/>
      <c r="AC31" s="76"/>
      <c r="AD31" s="76"/>
      <c r="AE31" s="76"/>
    </row>
    <row r="32" spans="1:31" ht="19.5" customHeight="1">
      <c r="A32" s="74" t="s">
        <v>50</v>
      </c>
      <c r="C32" s="75"/>
      <c r="D32" s="76"/>
      <c r="E32" s="76"/>
      <c r="F32" s="76"/>
      <c r="G32" s="76"/>
      <c r="H32" s="76"/>
      <c r="I32" s="76"/>
      <c r="J32" s="76"/>
      <c r="K32" s="76"/>
      <c r="M32" s="76"/>
      <c r="N32" s="76"/>
      <c r="O32" s="76"/>
      <c r="P32" s="76"/>
      <c r="R32" s="76"/>
      <c r="S32" s="76"/>
      <c r="T32" s="76"/>
      <c r="U32" s="76"/>
      <c r="W32" s="76"/>
      <c r="X32" s="76"/>
      <c r="Y32" s="76"/>
      <c r="Z32" s="76"/>
      <c r="AB32" s="76"/>
      <c r="AC32" s="76"/>
      <c r="AD32" s="76"/>
      <c r="AE32" s="76"/>
    </row>
    <row r="33" spans="2:31" ht="12.75">
      <c r="B33" s="94" t="s">
        <v>27</v>
      </c>
      <c r="C33" s="95">
        <v>40.5</v>
      </c>
      <c r="D33" s="96">
        <v>34.31</v>
      </c>
      <c r="E33" s="96">
        <v>37.75</v>
      </c>
      <c r="F33" s="97">
        <f>(C33*C$30+D33*D$30+E33*E$30)/F$30</f>
        <v>38.34425311203319</v>
      </c>
      <c r="G33" s="76"/>
      <c r="H33" s="96">
        <v>46.38</v>
      </c>
      <c r="I33" s="96">
        <v>43.63</v>
      </c>
      <c r="J33" s="96">
        <v>34.14</v>
      </c>
      <c r="K33" s="97">
        <f>(H33*H$30+I33*I$30+J33*J$30)/K$30</f>
        <v>42.88632978723404</v>
      </c>
      <c r="M33" s="96">
        <v>37.26</v>
      </c>
      <c r="N33" s="96">
        <v>40.56</v>
      </c>
      <c r="O33" s="96">
        <v>30.13</v>
      </c>
      <c r="P33" s="97">
        <f>(M33*M$30+N33*N$30+O33*O$30)/P$30</f>
        <v>35.30527559055118</v>
      </c>
      <c r="R33" s="96">
        <v>43.72</v>
      </c>
      <c r="S33" s="96">
        <v>44.99</v>
      </c>
      <c r="T33" s="96">
        <v>35.95</v>
      </c>
      <c r="U33" s="97">
        <f>(R33*R$30+S33*S$30+T33*T$30)/U$30</f>
        <v>42.111647446457994</v>
      </c>
      <c r="W33" s="96">
        <v>45.74</v>
      </c>
      <c r="X33" s="96">
        <v>34.63</v>
      </c>
      <c r="Y33" s="96">
        <v>30.72</v>
      </c>
      <c r="Z33" s="97">
        <f>(W33*W$30+X33*X$30+Y33*Y$30)/Z$30</f>
        <v>39.2692899408284</v>
      </c>
      <c r="AB33" s="96">
        <v>42.65</v>
      </c>
      <c r="AC33" s="96">
        <v>39.96</v>
      </c>
      <c r="AD33" s="96">
        <v>30.87</v>
      </c>
      <c r="AE33" s="97">
        <f>(AB33*AB$30+AC33*AC$30+AD33*AD$30)/AE$30</f>
        <v>38.750846153846155</v>
      </c>
    </row>
    <row r="34" spans="2:31" ht="13.5" thickBot="1">
      <c r="B34" s="94" t="s">
        <v>28</v>
      </c>
      <c r="C34" s="98">
        <v>34.17</v>
      </c>
      <c r="D34" s="99">
        <v>35.29</v>
      </c>
      <c r="E34" s="99">
        <v>26.76</v>
      </c>
      <c r="F34" s="100">
        <f>(C34*C$30+D34*D$30+E34*E$30)/F$30</f>
        <v>32.164813278008296</v>
      </c>
      <c r="G34" s="76"/>
      <c r="H34" s="99">
        <v>41.16</v>
      </c>
      <c r="I34" s="99">
        <v>35.61</v>
      </c>
      <c r="J34" s="99">
        <v>31.58</v>
      </c>
      <c r="K34" s="100">
        <f>(H34*H$30+I34*I$30+J34*J$30)/K$30</f>
        <v>37.64845744680851</v>
      </c>
      <c r="M34" s="99">
        <v>33.81</v>
      </c>
      <c r="N34" s="99">
        <v>29.51</v>
      </c>
      <c r="O34" s="99">
        <v>16.74</v>
      </c>
      <c r="P34" s="100">
        <f>(M34*M$30+N34*N$30+O34*O$30)/P$30</f>
        <v>27.016692913385825</v>
      </c>
      <c r="R34" s="99">
        <v>39.8</v>
      </c>
      <c r="S34" s="99">
        <v>38.5</v>
      </c>
      <c r="T34" s="99">
        <v>27.35</v>
      </c>
      <c r="U34" s="100">
        <f>(R34*R$30+S34*S$30+T34*T$30)/U$30</f>
        <v>36.40428336079078</v>
      </c>
      <c r="W34" s="99">
        <v>34.94</v>
      </c>
      <c r="X34" s="99">
        <v>30.54</v>
      </c>
      <c r="Y34" s="99">
        <v>32.76</v>
      </c>
      <c r="Z34" s="100">
        <f>(W34*W$30+X34*X$30+Y34*Y$30)/Z$30</f>
        <v>33.29159763313609</v>
      </c>
      <c r="AB34" s="99">
        <v>33.6</v>
      </c>
      <c r="AC34" s="99">
        <v>32.96</v>
      </c>
      <c r="AD34" s="99">
        <v>31.36</v>
      </c>
      <c r="AE34" s="100">
        <f>(AB34*AB$30+AC34*AC$30+AD34*AD$30)/AE$30</f>
        <v>32.831384615384614</v>
      </c>
    </row>
  </sheetData>
  <sheetProtection password="9F21" sheet="1" objects="1" scenarios="1" selectLockedCells="1" selectUnlockedCells="1"/>
  <mergeCells count="6">
    <mergeCell ref="W1:Z1"/>
    <mergeCell ref="AB1:AE1"/>
    <mergeCell ref="C1:F1"/>
    <mergeCell ref="H1:K1"/>
    <mergeCell ref="M1:P1"/>
    <mergeCell ref="R1:U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Andy Milne</cp:lastModifiedBy>
  <dcterms:created xsi:type="dcterms:W3CDTF">1996-10-14T23:33:28Z</dcterms:created>
  <dcterms:modified xsi:type="dcterms:W3CDTF">2011-12-14T20:36:11Z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